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345" windowWidth="15030" windowHeight="4305" activeTab="5"/>
  </bookViews>
  <sheets>
    <sheet name="Food Cost" sheetId="1" r:id="rId1"/>
    <sheet name="COGS Template" sheetId="2" r:id="rId2"/>
    <sheet name="Fixed Costs Template" sheetId="3" r:id="rId3"/>
    <sheet name="Pricing Template Mach2" sheetId="4" r:id="rId4"/>
    <sheet name="work area" sheetId="5" state="hidden" r:id="rId5"/>
    <sheet name="P&amp;L" sheetId="6" r:id="rId6"/>
  </sheets>
  <definedNames/>
  <calcPr fullCalcOnLoad="1"/>
</workbook>
</file>

<file path=xl/comments1.xml><?xml version="1.0" encoding="utf-8"?>
<comments xmlns="http://schemas.openxmlformats.org/spreadsheetml/2006/main">
  <authors>
    <author>Jeff Fidyk</author>
  </authors>
  <commentList>
    <comment ref="C2" authorId="0">
      <text>
        <r>
          <rPr>
            <b/>
            <sz val="9"/>
            <rFont val="Tahoma"/>
            <family val="2"/>
          </rPr>
          <t>Jeff Fidyk:</t>
        </r>
        <r>
          <rPr>
            <sz val="9"/>
            <rFont val="Tahoma"/>
            <family val="2"/>
          </rPr>
          <t xml:space="preserve">
If you purchase 425g of an item, enter 0.425 in the amount and select kg for units.
Similarly, if you purchase 6 oz of an item, you would enter =6/16 in the amount and select lb. There are 16 oz per lb.
If you purchase 678 ml of an item, enter 0.678 in the amount and select litre.</t>
        </r>
      </text>
    </comment>
    <comment ref="C32" authorId="0">
      <text>
        <r>
          <rPr>
            <b/>
            <sz val="9"/>
            <rFont val="Tahoma"/>
            <family val="2"/>
          </rPr>
          <t>Jeff Fidyk:</t>
        </r>
        <r>
          <rPr>
            <sz val="9"/>
            <rFont val="Tahoma"/>
            <family val="2"/>
          </rPr>
          <t xml:space="preserve">
If you are wasting or cannot use all of your purchased ingredients, you should enter the amount that is usable in this column beside each ingredient.
For example, if you purchase apples, the entire apple typically cannot be used. You would need to peel and core the apples. The average weight of the apples after they have been peeled and cored divided by the total weight purchased would be entered here as a percentage or just enter: =usable weight/total weight purchased</t>
        </r>
      </text>
    </comment>
    <comment ref="D32" authorId="0">
      <text>
        <r>
          <rPr>
            <b/>
            <sz val="9"/>
            <rFont val="Tahoma"/>
            <family val="2"/>
          </rPr>
          <t>Jeff Fidyk:</t>
        </r>
        <r>
          <rPr>
            <sz val="9"/>
            <rFont val="Tahoma"/>
            <family val="2"/>
          </rPr>
          <t xml:space="preserve">
This column just shows you the net weight per purchase amount that you have to use.</t>
        </r>
      </text>
    </comment>
    <comment ref="E32" authorId="0">
      <text>
        <r>
          <rPr>
            <b/>
            <sz val="9"/>
            <rFont val="Tahoma"/>
            <family val="2"/>
          </rPr>
          <t>Jeff Fidyk:</t>
        </r>
        <r>
          <rPr>
            <sz val="9"/>
            <rFont val="Tahoma"/>
            <family val="2"/>
          </rPr>
          <t xml:space="preserve">
You can choose between Kg or Lb</t>
        </r>
      </text>
    </comment>
    <comment ref="B2" authorId="0">
      <text>
        <r>
          <rPr>
            <b/>
            <sz val="9"/>
            <rFont val="Tahoma"/>
            <family val="2"/>
          </rPr>
          <t>Jeff Fidyk:</t>
        </r>
        <r>
          <rPr>
            <sz val="9"/>
            <rFont val="Tahoma"/>
            <family val="2"/>
          </rPr>
          <t xml:space="preserve">
Enter the landed cost of each ingredient here. 
Landed cost is the final cost of each ingredient including shipping/freight/delivery cost to get it to you.</t>
        </r>
      </text>
    </comment>
    <comment ref="H2" authorId="0">
      <text>
        <r>
          <rPr>
            <b/>
            <sz val="9"/>
            <rFont val="Tahoma"/>
            <family val="2"/>
          </rPr>
          <t>Jeff Fidyk:</t>
        </r>
        <r>
          <rPr>
            <sz val="9"/>
            <rFont val="Tahoma"/>
            <family val="2"/>
          </rPr>
          <t xml:space="preserve">
The "Each" selection is application when you purchase an ingredient that is "by count" versus "by weight".
For example, you may purchase taco shells in cases of 120 units, rather than a weight amount. </t>
        </r>
      </text>
    </comment>
    <comment ref="C62" authorId="0">
      <text>
        <r>
          <rPr>
            <b/>
            <sz val="9"/>
            <rFont val="Tahoma"/>
            <family val="2"/>
          </rPr>
          <t>Jeff Fidyk:</t>
        </r>
        <r>
          <rPr>
            <sz val="9"/>
            <rFont val="Tahoma"/>
            <family val="2"/>
          </rPr>
          <t xml:space="preserve">
Enter the amount of each ingredient you use per a batch of your product. 
There are multiple alternative measurement types you can choose from in column B.</t>
        </r>
      </text>
    </comment>
    <comment ref="D62" authorId="0">
      <text>
        <r>
          <rPr>
            <b/>
            <sz val="9"/>
            <rFont val="Tahoma"/>
            <family val="2"/>
          </rPr>
          <t>Jeff Fidyk:</t>
        </r>
        <r>
          <rPr>
            <sz val="9"/>
            <rFont val="Tahoma"/>
            <family val="2"/>
          </rPr>
          <t xml:space="preserve">
This column shows the total cost of each ingredient you are using per batch.</t>
        </r>
      </text>
    </comment>
    <comment ref="E62" authorId="0">
      <text>
        <r>
          <rPr>
            <b/>
            <sz val="9"/>
            <rFont val="Tahoma"/>
            <family val="2"/>
          </rPr>
          <t>Jeff Fidyk:</t>
        </r>
        <r>
          <rPr>
            <sz val="9"/>
            <rFont val="Tahoma"/>
            <family val="2"/>
          </rPr>
          <t xml:space="preserve">
This column shows each how much each ingredient in the batch costs relative to the total.</t>
        </r>
      </text>
    </comment>
    <comment ref="C102" authorId="0">
      <text>
        <r>
          <rPr>
            <b/>
            <sz val="9"/>
            <rFont val="Tahoma"/>
            <family val="2"/>
          </rPr>
          <t xml:space="preserve">Jeff Fidyk:
</t>
        </r>
        <r>
          <rPr>
            <sz val="9"/>
            <rFont val="Tahoma"/>
            <family val="2"/>
          </rPr>
          <t>Once you've mixed the ingredients and if you have some left over that cannot be carried forward to the next batch, enter the amount here.
Only enter the amount that tends to be left over each time.</t>
        </r>
      </text>
    </comment>
    <comment ref="C103" authorId="0">
      <text>
        <r>
          <rPr>
            <b/>
            <sz val="9"/>
            <rFont val="Tahoma"/>
            <family val="2"/>
          </rPr>
          <t>Jeff Fidyk:</t>
        </r>
        <r>
          <rPr>
            <sz val="9"/>
            <rFont val="Tahoma"/>
            <family val="2"/>
          </rPr>
          <t xml:space="preserve">
If some mixed ingredients are lost during production and this tends to be the norm when mixing a batch, enter that amount here.</t>
        </r>
      </text>
    </comment>
    <comment ref="C104" authorId="0">
      <text>
        <r>
          <rPr>
            <b/>
            <sz val="9"/>
            <rFont val="Tahoma"/>
            <family val="2"/>
          </rPr>
          <t>Jeff Fidyk:</t>
        </r>
        <r>
          <rPr>
            <sz val="9"/>
            <rFont val="Tahoma"/>
            <family val="2"/>
          </rPr>
          <t xml:space="preserve">
You may want to check some units from each batch to ensure they were made properly. If you tend to pull some items for Quality Control testing, enter the average number of units tested here.</t>
        </r>
      </text>
    </comment>
    <comment ref="D95" authorId="0">
      <text>
        <r>
          <rPr>
            <b/>
            <sz val="9"/>
            <rFont val="Tahoma"/>
            <family val="2"/>
          </rPr>
          <t>Jeff Fidyk:</t>
        </r>
        <r>
          <rPr>
            <sz val="9"/>
            <rFont val="Tahoma"/>
            <family val="2"/>
          </rPr>
          <t xml:space="preserve">
Enter the total count of individual units you yield from each batch. 
So if you are making cookies and get 10 dozen or 120 cookies, enter 120.</t>
        </r>
      </text>
    </comment>
    <comment ref="D96" authorId="0">
      <text>
        <r>
          <rPr>
            <b/>
            <sz val="9"/>
            <rFont val="Tahoma"/>
            <family val="2"/>
          </rPr>
          <t>Jeff Fidyk:</t>
        </r>
        <r>
          <rPr>
            <sz val="9"/>
            <rFont val="Tahoma"/>
            <family val="2"/>
          </rPr>
          <t xml:space="preserve">
Enter the number of individual units you are going to put into each package.
If you are making pies and selling them by the each, you would enter 1 here.  If you are making cookies and plan to sell them by the dozen, enter 12 here.</t>
        </r>
      </text>
    </comment>
  </commentList>
</comments>
</file>

<file path=xl/comments4.xml><?xml version="1.0" encoding="utf-8"?>
<comments xmlns="http://schemas.openxmlformats.org/spreadsheetml/2006/main">
  <authors>
    <author>Jeff Fidyk</author>
  </authors>
  <commentList>
    <comment ref="D4" authorId="0">
      <text>
        <r>
          <rPr>
            <b/>
            <sz val="9"/>
            <rFont val="Tahoma"/>
            <family val="2"/>
          </rPr>
          <t>Jeff Fidyk:</t>
        </r>
        <r>
          <rPr>
            <sz val="9"/>
            <rFont val="Tahoma"/>
            <family val="2"/>
          </rPr>
          <t xml:space="preserve">
Columns D &amp; E show costs and resulting pricing for Regular price.</t>
        </r>
      </text>
    </comment>
    <comment ref="F4" authorId="0">
      <text>
        <r>
          <rPr>
            <b/>
            <sz val="9"/>
            <rFont val="Tahoma"/>
            <family val="2"/>
          </rPr>
          <t>Jeff Fidyk:</t>
        </r>
        <r>
          <rPr>
            <sz val="9"/>
            <rFont val="Tahoma"/>
            <family val="2"/>
          </rPr>
          <t xml:space="preserve">
Columns F &amp; G show your costs and resulting pricing for when you choose to offer a feature.</t>
        </r>
      </text>
    </comment>
    <comment ref="D7" authorId="0">
      <text>
        <r>
          <rPr>
            <b/>
            <sz val="9"/>
            <rFont val="Tahoma"/>
            <family val="2"/>
          </rPr>
          <t>Jeff Fidyk:</t>
        </r>
        <r>
          <rPr>
            <sz val="9"/>
            <rFont val="Tahoma"/>
            <family val="2"/>
          </rPr>
          <t xml:space="preserve">
The normal gross profit margin a retail grocer needs for a dry grocery item that sits on the shelf is 35%. But to be sure, try going to an independently-owned grocery store and ask the owner. It's ok they don't bite!</t>
        </r>
      </text>
    </comment>
    <comment ref="F7" authorId="0">
      <text>
        <r>
          <rPr>
            <b/>
            <sz val="9"/>
            <rFont val="Tahoma"/>
            <family val="2"/>
          </rPr>
          <t>Jeff Fidyk:</t>
        </r>
        <r>
          <rPr>
            <sz val="9"/>
            <rFont val="Tahoma"/>
            <family val="2"/>
          </rPr>
          <t xml:space="preserve">
30% gross margin may be a bit generous for a feature but if you are being generous that should help intice a grocer to give you an off shelf display or an end display when you offer a great discount for their customers at a great margin.  Normal margin for a promo is typically in the 20% to 25% range.</t>
        </r>
      </text>
    </comment>
    <comment ref="D16" authorId="0">
      <text>
        <r>
          <rPr>
            <b/>
            <sz val="9"/>
            <rFont val="Tahoma"/>
            <family val="2"/>
          </rPr>
          <t>Jeff Fidyk:</t>
        </r>
        <r>
          <rPr>
            <sz val="9"/>
            <rFont val="Tahoma"/>
            <family val="2"/>
          </rPr>
          <t xml:space="preserve">
This is the typical amount of commission you would pay a rep. If you pay this amount you typically wouldn't pay a salary as well but it depends on the line and the size of the territory and the earning potential.</t>
        </r>
      </text>
    </comment>
    <comment ref="D18" authorId="0">
      <text>
        <r>
          <rPr>
            <b/>
            <sz val="9"/>
            <rFont val="Tahoma"/>
            <family val="2"/>
          </rPr>
          <t>Jeff Fidyk:</t>
        </r>
        <r>
          <rPr>
            <sz val="9"/>
            <rFont val="Tahoma"/>
            <family val="2"/>
          </rPr>
          <t xml:space="preserve">
Note this is a wholesale gross margin. If you are selling to a consumer you should be adding about 35 points to this and making at least 75%.  The average wholesale gross margin for Canada's food processing sector is 41%</t>
        </r>
      </text>
    </comment>
    <comment ref="F18" authorId="0">
      <text>
        <r>
          <rPr>
            <b/>
            <sz val="9"/>
            <rFont val="Tahoma"/>
            <family val="2"/>
          </rPr>
          <t>Jeff Fidyk:</t>
        </r>
        <r>
          <rPr>
            <sz val="9"/>
            <rFont val="Tahoma"/>
            <family val="2"/>
          </rPr>
          <t xml:space="preserve">
It's ok to occassionally sell for lower than your idea margin, just so long as it doesn't become a habit and all your volume is not at a discounted margin.</t>
        </r>
      </text>
    </comment>
    <comment ref="E23" authorId="0">
      <text>
        <r>
          <rPr>
            <b/>
            <sz val="9"/>
            <rFont val="Tahoma"/>
            <family val="2"/>
          </rPr>
          <t>Jeff Fidyk:</t>
        </r>
        <r>
          <rPr>
            <sz val="9"/>
            <rFont val="Tahoma"/>
            <family val="2"/>
          </rPr>
          <t xml:space="preserve">
This is an arbitrary amount that you choose as an objective.</t>
        </r>
      </text>
    </comment>
    <comment ref="D12" authorId="0">
      <text>
        <r>
          <rPr>
            <b/>
            <sz val="9"/>
            <rFont val="Tahoma"/>
            <family val="2"/>
          </rPr>
          <t>Jeff Fidyk:</t>
        </r>
        <r>
          <rPr>
            <sz val="9"/>
            <rFont val="Tahoma"/>
            <family val="2"/>
          </rPr>
          <t xml:space="preserve">
2.5% is typical for co-operative advertising allowance</t>
        </r>
      </text>
    </comment>
    <comment ref="D13" authorId="0">
      <text>
        <r>
          <rPr>
            <b/>
            <sz val="9"/>
            <rFont val="Tahoma"/>
            <family val="2"/>
          </rPr>
          <t>Jeff Fidyk:</t>
        </r>
        <r>
          <rPr>
            <sz val="9"/>
            <rFont val="Tahoma"/>
            <family val="2"/>
          </rPr>
          <t xml:space="preserve">
You may encounter different names for these items when you deal with a corporate retailer than what is shown here. Doesn't matter. What is important is that the big retailers are typically looking for a total of between 12 and 14 percent for program monies.</t>
        </r>
      </text>
    </comment>
    <comment ref="I32" authorId="0">
      <text>
        <r>
          <rPr>
            <b/>
            <sz val="9"/>
            <rFont val="Tahoma"/>
            <family val="2"/>
          </rPr>
          <t>Jeff Fidyk:</t>
        </r>
        <r>
          <rPr>
            <sz val="9"/>
            <rFont val="Tahoma"/>
            <family val="2"/>
          </rPr>
          <t xml:space="preserve">
You can enter forecast or actual sales mix in these boxes. Look at the results in row 37 to see the average profit and Break Even points.</t>
        </r>
      </text>
    </comment>
    <comment ref="F32" authorId="0">
      <text>
        <r>
          <rPr>
            <b/>
            <sz val="9"/>
            <rFont val="Tahoma"/>
            <family val="2"/>
          </rPr>
          <t>Jeff Fidyk:</t>
        </r>
        <r>
          <rPr>
            <sz val="9"/>
            <rFont val="Tahoma"/>
            <family val="2"/>
          </rPr>
          <t xml:space="preserve">
B/E = Break Even
The number of units you need to sell to each customer type at the prices above to break even and make the desired profit per month as noted in cell E23</t>
        </r>
      </text>
    </comment>
    <comment ref="H32" authorId="0">
      <text>
        <r>
          <rPr>
            <b/>
            <sz val="9"/>
            <rFont val="Tahoma"/>
            <family val="2"/>
          </rPr>
          <t>Jeff Fidyk:</t>
        </r>
        <r>
          <rPr>
            <sz val="9"/>
            <rFont val="Tahoma"/>
            <family val="2"/>
          </rPr>
          <t xml:space="preserve">
B/E $ = Break Even The total Sales or Revenue you must make to Break Even.</t>
        </r>
      </text>
    </comment>
    <comment ref="F26" authorId="0">
      <text>
        <r>
          <rPr>
            <b/>
            <sz val="9"/>
            <rFont val="Tahoma"/>
            <family val="2"/>
          </rPr>
          <t>Jeff Fidyk:</t>
        </r>
        <r>
          <rPr>
            <sz val="9"/>
            <rFont val="Tahoma"/>
            <family val="2"/>
          </rPr>
          <t xml:space="preserve">
GP% = Gross Profit margin.
Full GP% shows you the actual Gross Profit Margin you would be making if you charged the program monies as part of your pricing but didn't have to pay them out.</t>
        </r>
      </text>
    </comment>
    <comment ref="E26" authorId="0">
      <text>
        <r>
          <rPr>
            <b/>
            <sz val="9"/>
            <rFont val="Tahoma"/>
            <family val="2"/>
          </rPr>
          <t>Jeff Fidyk:</t>
        </r>
        <r>
          <rPr>
            <sz val="9"/>
            <rFont val="Tahoma"/>
            <family val="2"/>
          </rPr>
          <t xml:space="preserve">
This column shows the Regular Selling price for each different type of customer noted in Column B.</t>
        </r>
      </text>
    </comment>
    <comment ref="G26" authorId="0">
      <text>
        <r>
          <rPr>
            <b/>
            <sz val="9"/>
            <rFont val="Tahoma"/>
            <family val="2"/>
          </rPr>
          <t>Jeff Fidyk:</t>
        </r>
        <r>
          <rPr>
            <sz val="9"/>
            <rFont val="Tahoma"/>
            <family val="2"/>
          </rPr>
          <t xml:space="preserve">
This column shows the Promotional for Feature Selling price you would charge for each type of customer noted in Column B.</t>
        </r>
      </text>
    </comment>
    <comment ref="G32" authorId="0">
      <text>
        <r>
          <rPr>
            <b/>
            <sz val="9"/>
            <rFont val="Tahoma"/>
            <family val="2"/>
          </rPr>
          <t>Jeff Fidyk:</t>
        </r>
        <r>
          <rPr>
            <sz val="9"/>
            <rFont val="Tahoma"/>
            <family val="2"/>
          </rPr>
          <t xml:space="preserve">
B/E = Break Even.
The number of cases of your product you need to sell to each customer type at the prices above to break even plus make your desired amount of profit.</t>
        </r>
      </text>
    </comment>
    <comment ref="E32" authorId="0">
      <text>
        <r>
          <rPr>
            <b/>
            <sz val="9"/>
            <rFont val="Tahoma"/>
            <family val="2"/>
          </rPr>
          <t>Jeff Fidyk:</t>
        </r>
        <r>
          <rPr>
            <sz val="9"/>
            <rFont val="Tahoma"/>
            <family val="2"/>
          </rPr>
          <t xml:space="preserve">
Gross profit = Reg Sell - Cost 
Shows Per unit</t>
        </r>
      </text>
    </comment>
    <comment ref="B39" authorId="0">
      <text>
        <r>
          <rPr>
            <b/>
            <sz val="9"/>
            <rFont val="Tahoma"/>
            <family val="2"/>
          </rPr>
          <t>Jeff Fidyk:</t>
        </r>
        <r>
          <rPr>
            <sz val="9"/>
            <rFont val="Tahoma"/>
            <family val="2"/>
          </rPr>
          <t xml:space="preserve">
This section shows your break even points if you were to sell all units at promo or feature prices.</t>
        </r>
      </text>
    </comment>
    <comment ref="B32" authorId="0">
      <text>
        <r>
          <rPr>
            <b/>
            <sz val="9"/>
            <rFont val="Tahoma"/>
            <family val="2"/>
          </rPr>
          <t>Jeff Fidyk:</t>
        </r>
        <r>
          <rPr>
            <sz val="9"/>
            <rFont val="Tahoma"/>
            <family val="2"/>
          </rPr>
          <t xml:space="preserve">
This section shows your break even points when you sell all stock at regular price.</t>
        </r>
      </text>
    </comment>
  </commentList>
</comments>
</file>

<file path=xl/comments6.xml><?xml version="1.0" encoding="utf-8"?>
<comments xmlns="http://schemas.openxmlformats.org/spreadsheetml/2006/main">
  <authors>
    <author>Jeff Fidyk</author>
  </authors>
  <commentList>
    <comment ref="B5" authorId="0">
      <text>
        <r>
          <rPr>
            <b/>
            <sz val="9"/>
            <rFont val="Tahoma"/>
            <family val="2"/>
          </rPr>
          <t>Jeff Fidyk:</t>
        </r>
        <r>
          <rPr>
            <sz val="9"/>
            <rFont val="Tahoma"/>
            <family val="2"/>
          </rPr>
          <t xml:space="preserve">
If you sold everything at regular retail, here is what your P&amp;L might look like.</t>
        </r>
      </text>
    </comment>
    <comment ref="E5" authorId="0">
      <text>
        <r>
          <rPr>
            <b/>
            <sz val="9"/>
            <rFont val="Tahoma"/>
            <family val="2"/>
          </rPr>
          <t>Jeff Fidyk:</t>
        </r>
        <r>
          <rPr>
            <sz val="9"/>
            <rFont val="Tahoma"/>
            <family val="2"/>
          </rPr>
          <t xml:space="preserve">
If you sold everything at a reduced or feature retail, this is what your P&amp;L might look like.</t>
        </r>
      </text>
    </comment>
    <comment ref="H5" authorId="0">
      <text>
        <r>
          <rPr>
            <b/>
            <sz val="9"/>
            <rFont val="Tahoma"/>
            <family val="2"/>
          </rPr>
          <t>Jeff Fidyk:</t>
        </r>
        <r>
          <rPr>
            <sz val="9"/>
            <rFont val="Tahoma"/>
            <family val="2"/>
          </rPr>
          <t xml:space="preserve">
This section shows a more realistic situation: a blending of your sales at both regular and feature retail prices. You can enter the actual or potential ratio or mix between these two in the yellow boxes above. Be sure the total is 100%</t>
        </r>
      </text>
    </comment>
  </commentList>
</comments>
</file>

<file path=xl/sharedStrings.xml><?xml version="1.0" encoding="utf-8"?>
<sst xmlns="http://schemas.openxmlformats.org/spreadsheetml/2006/main" count="282" uniqueCount="217">
  <si>
    <t>Note all above costs should be LANDED - include delivery charges/freight</t>
  </si>
  <si>
    <t>Kg</t>
  </si>
  <si>
    <t>Food Cost Detail</t>
  </si>
  <si>
    <t>Enter the PURCHASE cost and unit of purchase in this chart</t>
  </si>
  <si>
    <t>Cost</t>
  </si>
  <si>
    <t>Amount</t>
  </si>
  <si>
    <t>x</t>
  </si>
  <si>
    <t>Gallon</t>
  </si>
  <si>
    <t>Litre</t>
  </si>
  <si>
    <t>conversion table</t>
  </si>
  <si>
    <t>from kg</t>
  </si>
  <si>
    <t>from gal</t>
  </si>
  <si>
    <t>from litre</t>
  </si>
  <si>
    <t>lbs</t>
  </si>
  <si>
    <t>Total cost per batch</t>
  </si>
  <si>
    <t>Wate per batch</t>
  </si>
  <si>
    <t>work area</t>
  </si>
  <si>
    <t>Yields</t>
  </si>
  <si>
    <t>lb</t>
  </si>
  <si>
    <t>kg</t>
  </si>
  <si>
    <t>gallon</t>
  </si>
  <si>
    <t>litre</t>
  </si>
  <si>
    <t>index</t>
  </si>
  <si>
    <t>yield</t>
  </si>
  <si>
    <t>cost/lb pre yield</t>
  </si>
  <si>
    <t>UNITS of finished product wasted</t>
  </si>
  <si>
    <t>Waste cost per unit</t>
  </si>
  <si>
    <t>Advertising</t>
  </si>
  <si>
    <t>Food production facility rental</t>
  </si>
  <si>
    <t>Food production utilities</t>
  </si>
  <si>
    <t>Salaries</t>
  </si>
  <si>
    <t>Table rental at farmers' markets</t>
  </si>
  <si>
    <t>Non-direct labour</t>
  </si>
  <si>
    <t>Booth space at trade shows</t>
  </si>
  <si>
    <t>Label/package design</t>
  </si>
  <si>
    <t>Samples given away at demos</t>
  </si>
  <si>
    <t>Direct labour cost of demo staff</t>
  </si>
  <si>
    <t>POS materials design</t>
  </si>
  <si>
    <t>Sales commissions</t>
  </si>
  <si>
    <t>Interest</t>
  </si>
  <si>
    <t>Delivery charge to customers</t>
  </si>
  <si>
    <t>Bank fees</t>
  </si>
  <si>
    <t>Fuel cost to deliver to customers</t>
  </si>
  <si>
    <t>Equipment rental</t>
  </si>
  <si>
    <t>Total Cost of Sales</t>
  </si>
  <si>
    <t>Total Fixed Costs</t>
  </si>
  <si>
    <t xml:space="preserve"> </t>
  </si>
  <si>
    <t>Measure</t>
  </si>
  <si>
    <t>cost/unit</t>
  </si>
  <si>
    <t>per batch</t>
  </si>
  <si>
    <t>Food wastage</t>
  </si>
  <si>
    <t>Master package (carton or base)</t>
  </si>
  <si>
    <t>Master closure (tape or overwrap)</t>
  </si>
  <si>
    <t>Master label</t>
  </si>
  <si>
    <t>Direct labour - food production</t>
  </si>
  <si>
    <t>Direct labour - unit packaging</t>
  </si>
  <si>
    <t>Direct labour - master packaging</t>
  </si>
  <si>
    <t>Regular</t>
  </si>
  <si>
    <t>Promo/Feature</t>
  </si>
  <si>
    <t>Line</t>
  </si>
  <si>
    <t>%</t>
  </si>
  <si>
    <t>$</t>
  </si>
  <si>
    <t>C</t>
  </si>
  <si>
    <t>E</t>
  </si>
  <si>
    <t>Retailer landed cost</t>
  </si>
  <si>
    <t>Freight to retailer</t>
  </si>
  <si>
    <t>Wholesaler upcharge</t>
  </si>
  <si>
    <t>Sales/Agent commission</t>
  </si>
  <si>
    <t>Cost of sales per month</t>
  </si>
  <si>
    <t>Fixed costs per month</t>
  </si>
  <si>
    <t>Desired profit per month</t>
  </si>
  <si>
    <t>Total</t>
  </si>
  <si>
    <t>Selling Price for each type of customer</t>
  </si>
  <si>
    <t>When selling direct to consumer</t>
  </si>
  <si>
    <t>When selling DSD to retailer</t>
  </si>
  <si>
    <t>When selling to a corporate chain</t>
  </si>
  <si>
    <t>When selling to an independent wholesaler</t>
  </si>
  <si>
    <t xml:space="preserve">When selling at regular prices </t>
  </si>
  <si>
    <t>B/E units</t>
  </si>
  <si>
    <t>B/E $</t>
  </si>
  <si>
    <t>% of total sales</t>
  </si>
  <si>
    <t xml:space="preserve">If selling to a MIX of customers </t>
  </si>
  <si>
    <t xml:space="preserve">When selling at promo/feature prices </t>
  </si>
  <si>
    <t>Rate/hour</t>
  </si>
  <si>
    <t>Enter numbers only in the yellow highlighted cells. All others will recalculate automatically for you.              ......................................                                                                                                    If you enter numbers in the non-yellow cells it will void the warranty for this sheet!</t>
  </si>
  <si>
    <t>Lb</t>
  </si>
  <si>
    <t>units w yield</t>
  </si>
  <si>
    <t>cost/unit w yield</t>
  </si>
  <si>
    <t>You can choose between Lb or Kg</t>
  </si>
  <si>
    <t>Retail pricing when considering the cost of using channel partners</t>
  </si>
  <si>
    <t>ml</t>
  </si>
  <si>
    <t>oz</t>
  </si>
  <si>
    <t>cup</t>
  </si>
  <si>
    <t>tsp</t>
  </si>
  <si>
    <t>tbsp</t>
  </si>
  <si>
    <t>2.2 lb = 1 kg</t>
  </si>
  <si>
    <t>notes</t>
  </si>
  <si>
    <t>1 litre = 1 kg</t>
  </si>
  <si>
    <t>100 ml = 1 kg</t>
  </si>
  <si>
    <t>35 oz = 1 kg</t>
  </si>
  <si>
    <t>7.7 cups = 1kg</t>
  </si>
  <si>
    <t>200 tsp = 1 kg</t>
  </si>
  <si>
    <t>67.57 tbsp = 1kg</t>
  </si>
  <si>
    <t>Amount per batch</t>
  </si>
  <si>
    <t>1 kg = 1 kg</t>
  </si>
  <si>
    <t>Index</t>
  </si>
  <si>
    <t>unit conversion</t>
  </si>
  <si>
    <t>total cost</t>
  </si>
  <si>
    <t>common weight</t>
  </si>
  <si>
    <t>total weight in standard units</t>
  </si>
  <si>
    <t>18% is added to each of the rates/hour to allow for extra cost of hiring labour</t>
  </si>
  <si>
    <t xml:space="preserve">TOTAL </t>
  </si>
  <si>
    <t>Ratio</t>
  </si>
  <si>
    <t>each</t>
  </si>
  <si>
    <t>Each</t>
  </si>
  <si>
    <t>from each</t>
  </si>
  <si>
    <t>Amount used/unit</t>
  </si>
  <si>
    <t>Amount used/case</t>
  </si>
  <si>
    <t>Food cost</t>
  </si>
  <si>
    <t>Labour</t>
  </si>
  <si>
    <t>Hours /batch</t>
  </si>
  <si>
    <t>Direct labour - food production - #1</t>
  </si>
  <si>
    <t>Direct labour - food production - #2</t>
  </si>
  <si>
    <t>Direct labour - unit packaging - #1</t>
  </si>
  <si>
    <t>Direct labour - unit packaging - #2</t>
  </si>
  <si>
    <t>Direct labour - master packaging - #1</t>
  </si>
  <si>
    <t>Direct labour - master packaging - #2</t>
  </si>
  <si>
    <t>Labour /unit</t>
  </si>
  <si>
    <t>Food ingredient cost</t>
  </si>
  <si>
    <t>Purchase units/case</t>
  </si>
  <si>
    <t>Purchase cost/case</t>
  </si>
  <si>
    <t>Units (you can change each one)</t>
  </si>
  <si>
    <t>What is the finished product you are making?</t>
  </si>
  <si>
    <t>Revenue</t>
  </si>
  <si>
    <t>= Contribution</t>
  </si>
  <si>
    <t>B/E cases</t>
  </si>
  <si>
    <t>(Direct to consumer)</t>
  </si>
  <si>
    <t>(DSD to retailer)</t>
  </si>
  <si>
    <t>(Independent wholesaler)</t>
  </si>
  <si>
    <t>Unit packaging part 1</t>
  </si>
  <si>
    <t>Unit packaging part 2</t>
  </si>
  <si>
    <t>Unit packaging part 3</t>
  </si>
  <si>
    <t>Detail</t>
  </si>
  <si>
    <t>Carton</t>
  </si>
  <si>
    <t>Label</t>
  </si>
  <si>
    <t>Tape</t>
  </si>
  <si>
    <t>section above is controlled by row 32 yields</t>
  </si>
  <si>
    <t>must adjust the address in each unit selection to place the result in column F of above table</t>
  </si>
  <si>
    <t>Section above must grow if more ingredients are added</t>
  </si>
  <si>
    <t>Unit packaging part 4</t>
  </si>
  <si>
    <t>Unit packaging part 5</t>
  </si>
  <si>
    <t>Full GP%</t>
  </si>
  <si>
    <t>lemon juice</t>
  </si>
  <si>
    <t>cinnamon</t>
  </si>
  <si>
    <t>apples</t>
  </si>
  <si>
    <t>apple pie</t>
  </si>
  <si>
    <t>Yield per amount purchased</t>
  </si>
  <si>
    <t>Share of total cost</t>
  </si>
  <si>
    <t>pie tin</t>
  </si>
  <si>
    <t>box</t>
  </si>
  <si>
    <t>overwrap</t>
  </si>
  <si>
    <t>Blended                      (regular &amp; Feature)</t>
  </si>
  <si>
    <t xml:space="preserve">Enter ratio of sales at regular retail  </t>
  </si>
  <si>
    <t xml:space="preserve">Enter ratio of sales at feature retail  </t>
  </si>
  <si>
    <t>Number of packages you will get per batch is</t>
  </si>
  <si>
    <t>Here is your cost per package before wastage</t>
  </si>
  <si>
    <t>How many individual units do you get per batch?</t>
  </si>
  <si>
    <t>How many individual units will you put into each package?</t>
  </si>
  <si>
    <t>Yield of each ingredient as a percent</t>
  </si>
  <si>
    <t>flour</t>
  </si>
  <si>
    <t>sugar</t>
  </si>
  <si>
    <t>shortening</t>
  </si>
  <si>
    <t>salt</t>
  </si>
  <si>
    <t>cinnamon candy</t>
  </si>
  <si>
    <t>Recipe scaling per batch</t>
  </si>
  <si>
    <t>Total cost</t>
  </si>
  <si>
    <t>Total waste per batch</t>
  </si>
  <si>
    <t>Total cost per unit (A99 + A106)</t>
  </si>
  <si>
    <t>Cost of goods</t>
  </si>
  <si>
    <t>Units/batch</t>
  </si>
  <si>
    <t>Cost/unit</t>
  </si>
  <si>
    <t>Unit packaging</t>
  </si>
  <si>
    <t>Case packaging</t>
  </si>
  <si>
    <t>Case closure</t>
  </si>
  <si>
    <t>Total cost of goods (per unit)</t>
  </si>
  <si>
    <t>Cost summary &amp; analysis</t>
  </si>
  <si>
    <t>Summary ratios</t>
  </si>
  <si>
    <t>Total food cost</t>
  </si>
  <si>
    <t>Total packaging cost</t>
  </si>
  <si>
    <t>Cost of sales (selling expenses) per month</t>
  </si>
  <si>
    <t>Cost item</t>
  </si>
  <si>
    <t>Point of sale materials</t>
  </si>
  <si>
    <t>Website hosting fees</t>
  </si>
  <si>
    <t>Website design</t>
  </si>
  <si>
    <t>Retail price</t>
  </si>
  <si>
    <t>Retail gross margin</t>
  </si>
  <si>
    <t>Your invoice price to wholesale</t>
  </si>
  <si>
    <t>Advertising allowance</t>
  </si>
  <si>
    <t>Central billing allowance</t>
  </si>
  <si>
    <t>Annual volume rebate</t>
  </si>
  <si>
    <t>Shelf maintenance fee or other</t>
  </si>
  <si>
    <t>Your net price</t>
  </si>
  <si>
    <t>Your gross margin</t>
  </si>
  <si>
    <t>Your cost of goods (COGS)</t>
  </si>
  <si>
    <t>Reg sell</t>
  </si>
  <si>
    <t>Promo sell</t>
  </si>
  <si>
    <t>Gross profit</t>
  </si>
  <si>
    <t>All at regular retail</t>
  </si>
  <si>
    <t>All at feature retail</t>
  </si>
  <si>
    <t>(Corporate chain)</t>
  </si>
  <si>
    <t>= Gross profit</t>
  </si>
  <si>
    <t>- Cost of goods sold (COGS)</t>
  </si>
  <si>
    <t>- Cost of sales</t>
  </si>
  <si>
    <t>- Fixed expenses</t>
  </si>
  <si>
    <t>= Net profit (before tax)</t>
  </si>
  <si>
    <t>For all charts in this file, please only enter information as indicated in the YELLOW highlighted boxes.                                                                                                   ..................                     For the chart to the left, please use only "x" - lower case letter "x" to indicate the unit of measure for each ingredient.</t>
  </si>
  <si>
    <t>SZL</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</si>
</sst>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 #,##0_-;_-* &quot;-&quot;??_-;_-@_-"/>
    <numFmt numFmtId="173" formatCode="0.0%"/>
    <numFmt numFmtId="174" formatCode="&quot;$&quot;#,##0.00"/>
    <numFmt numFmtId="175" formatCode="_-&quot;$&quot;* #,##0_-;\-&quot;$&quot;* #,##0_-;_-&quot;$&quot;* &quot;-&quot;??_-;_-@_-"/>
    <numFmt numFmtId="176" formatCode="[$SZL]\ #,##0.00"/>
    <numFmt numFmtId="177" formatCode="[$SZL]\ #,##0"/>
  </numFmts>
  <fonts count="46">
    <font>
      <sz val="11"/>
      <color theme="1"/>
      <name val="Calibri"/>
      <family val="2"/>
    </font>
    <font>
      <sz val="11"/>
      <color indexed="8"/>
      <name val="Calibri"/>
      <family val="2"/>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Calibri"/>
      <family val="2"/>
    </font>
    <font>
      <b/>
      <sz val="12"/>
      <color indexed="8"/>
      <name val="Calibri"/>
      <family val="2"/>
    </font>
    <font>
      <b/>
      <sz val="10"/>
      <color indexed="8"/>
      <name val="Calibri"/>
      <family val="2"/>
    </font>
    <font>
      <b/>
      <sz val="14"/>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2"/>
      <color theme="1"/>
      <name val="Calibri"/>
      <family val="2"/>
    </font>
    <font>
      <b/>
      <sz val="10"/>
      <color theme="1"/>
      <name val="Calibri"/>
      <family val="2"/>
    </font>
    <font>
      <b/>
      <sz val="14"/>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
      <patternFill patternType="solid">
        <fgColor rgb="FF92D05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left>
      <right style="thin">
        <color theme="0"/>
      </right>
      <top/>
      <bottom/>
    </border>
    <border>
      <left style="thin"/>
      <right style="thin"/>
      <top style="thin"/>
      <bottom style="thin"/>
    </border>
    <border>
      <left style="thin">
        <color theme="1"/>
      </left>
      <right/>
      <top/>
      <bottom style="thin">
        <color theme="1"/>
      </bottom>
    </border>
    <border>
      <left style="thin">
        <color theme="1"/>
      </left>
      <right style="thin">
        <color theme="1"/>
      </right>
      <top style="thin">
        <color theme="1"/>
      </top>
      <bottom style="thin">
        <color theme="1"/>
      </bottom>
    </border>
    <border>
      <left style="thin">
        <color theme="0"/>
      </left>
      <right style="thin">
        <color theme="0"/>
      </right>
      <top style="thin">
        <color theme="0"/>
      </top>
      <bottom/>
    </border>
    <border>
      <left/>
      <right style="thin"/>
      <top style="thin"/>
      <bottom/>
    </border>
    <border>
      <left style="thin"/>
      <right style="thin"/>
      <top style="thin"/>
      <bottom/>
    </border>
    <border>
      <left style="thin"/>
      <right style="thin"/>
      <top/>
      <bottom style="thin"/>
    </border>
    <border>
      <left style="thin">
        <color theme="1"/>
      </left>
      <right style="thin">
        <color theme="1"/>
      </right>
      <top style="thin">
        <color theme="1"/>
      </top>
      <bottom/>
    </border>
    <border>
      <left/>
      <right style="thin"/>
      <top style="thin"/>
      <bottom style="thin"/>
    </border>
    <border>
      <left style="thin"/>
      <right/>
      <top style="thin"/>
      <bottom style="thin"/>
    </border>
    <border>
      <left style="thin"/>
      <right/>
      <top style="thin"/>
      <bottom/>
    </border>
    <border>
      <left style="thin">
        <color theme="1"/>
      </left>
      <right/>
      <top style="thin">
        <color theme="1"/>
      </top>
      <bottom style="thin">
        <color theme="1"/>
      </bottom>
    </border>
    <border>
      <left/>
      <right style="thin"/>
      <top/>
      <bottom style="thin"/>
    </border>
    <border>
      <left/>
      <right/>
      <top style="thin"/>
      <bottom style="thin"/>
    </border>
    <border>
      <left style="thin">
        <color theme="1"/>
      </left>
      <right style="thin">
        <color theme="1"/>
      </right>
      <top/>
      <bottom style="thin">
        <color theme="1"/>
      </bottom>
    </border>
    <border>
      <left/>
      <right style="thin">
        <color theme="1"/>
      </right>
      <top style="thin">
        <color theme="1"/>
      </top>
      <bottom style="thin">
        <color theme="1"/>
      </bottom>
    </border>
    <border>
      <left style="thin">
        <color theme="0"/>
      </left>
      <right/>
      <top/>
      <bottom/>
    </border>
    <border>
      <left style="thin"/>
      <right/>
      <top/>
      <bottom/>
    </border>
    <border>
      <left/>
      <right style="thin"/>
      <top/>
      <bottom/>
    </border>
    <border>
      <left style="thin"/>
      <right/>
      <top/>
      <bottom style="thin"/>
    </border>
    <border>
      <left/>
      <right/>
      <top style="thin">
        <color theme="1"/>
      </top>
      <bottom style="thin">
        <color theme="1"/>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31">
    <xf numFmtId="0" fontId="0" fillId="0" borderId="0" xfId="0" applyFont="1" applyAlignment="1">
      <alignment/>
    </xf>
    <xf numFmtId="170" fontId="0" fillId="0" borderId="0" xfId="44" applyFont="1" applyAlignment="1">
      <alignment/>
    </xf>
    <xf numFmtId="0" fontId="0" fillId="0" borderId="10" xfId="0" applyBorder="1" applyAlignment="1">
      <alignment/>
    </xf>
    <xf numFmtId="170" fontId="0" fillId="0" borderId="10" xfId="44" applyFont="1" applyBorder="1" applyAlignment="1">
      <alignment/>
    </xf>
    <xf numFmtId="0" fontId="0" fillId="33" borderId="11" xfId="0" applyFill="1" applyBorder="1" applyAlignment="1">
      <alignment/>
    </xf>
    <xf numFmtId="170" fontId="0" fillId="33" borderId="11" xfId="44" applyFont="1" applyFill="1" applyBorder="1" applyAlignment="1">
      <alignment/>
    </xf>
    <xf numFmtId="171" fontId="0" fillId="33" borderId="11" xfId="42" applyFont="1" applyFill="1" applyBorder="1" applyAlignment="1">
      <alignment/>
    </xf>
    <xf numFmtId="170" fontId="0" fillId="33" borderId="11" xfId="44" applyFont="1" applyFill="1" applyBorder="1" applyAlignment="1">
      <alignment horizontal="center"/>
    </xf>
    <xf numFmtId="0" fontId="0" fillId="33" borderId="11" xfId="0" applyFill="1" applyBorder="1" applyAlignment="1">
      <alignment horizontal="center"/>
    </xf>
    <xf numFmtId="170" fontId="0" fillId="0" borderId="10" xfId="44" applyFont="1" applyBorder="1" applyAlignment="1">
      <alignment horizontal="center"/>
    </xf>
    <xf numFmtId="0" fontId="0" fillId="0" borderId="10" xfId="0" applyBorder="1" applyAlignment="1">
      <alignment horizontal="center"/>
    </xf>
    <xf numFmtId="170" fontId="0" fillId="0" borderId="0" xfId="44" applyFont="1" applyAlignment="1">
      <alignment horizontal="center"/>
    </xf>
    <xf numFmtId="0" fontId="0" fillId="0" borderId="0" xfId="0" applyAlignment="1">
      <alignment horizontal="center"/>
    </xf>
    <xf numFmtId="0" fontId="39" fillId="0" borderId="0" xfId="0" applyFont="1" applyFill="1" applyBorder="1" applyAlignment="1">
      <alignment horizontal="center"/>
    </xf>
    <xf numFmtId="171" fontId="0" fillId="0" borderId="0" xfId="42" applyFont="1" applyAlignment="1">
      <alignment/>
    </xf>
    <xf numFmtId="0" fontId="39" fillId="0" borderId="11" xfId="0" applyFont="1" applyBorder="1" applyAlignment="1">
      <alignment/>
    </xf>
    <xf numFmtId="170" fontId="39" fillId="0" borderId="11" xfId="44" applyFont="1" applyBorder="1" applyAlignment="1">
      <alignment horizontal="center"/>
    </xf>
    <xf numFmtId="170" fontId="39" fillId="0" borderId="11" xfId="44" applyFont="1" applyBorder="1" applyAlignment="1">
      <alignment/>
    </xf>
    <xf numFmtId="0" fontId="39" fillId="0" borderId="11" xfId="0" applyFont="1" applyBorder="1" applyAlignment="1">
      <alignment horizontal="center"/>
    </xf>
    <xf numFmtId="170" fontId="39" fillId="0" borderId="11" xfId="44" applyFont="1" applyBorder="1" applyAlignment="1">
      <alignment horizontal="right"/>
    </xf>
    <xf numFmtId="0" fontId="0" fillId="0" borderId="12" xfId="0" applyFill="1" applyBorder="1" applyAlignment="1">
      <alignment/>
    </xf>
    <xf numFmtId="0" fontId="41" fillId="0" borderId="0" xfId="0" applyFont="1" applyAlignment="1">
      <alignment/>
    </xf>
    <xf numFmtId="171" fontId="41" fillId="0" borderId="0" xfId="42" applyFont="1" applyAlignment="1">
      <alignment/>
    </xf>
    <xf numFmtId="0" fontId="0" fillId="0" borderId="0" xfId="0" applyBorder="1" applyAlignment="1">
      <alignment/>
    </xf>
    <xf numFmtId="170" fontId="0" fillId="0" borderId="0" xfId="44" applyFont="1" applyBorder="1" applyAlignment="1">
      <alignment/>
    </xf>
    <xf numFmtId="170" fontId="0" fillId="0" borderId="0" xfId="44" applyFont="1" applyBorder="1" applyAlignment="1">
      <alignment horizontal="center"/>
    </xf>
    <xf numFmtId="0" fontId="0" fillId="0" borderId="0" xfId="0" applyBorder="1" applyAlignment="1">
      <alignment horizontal="center"/>
    </xf>
    <xf numFmtId="0" fontId="39" fillId="0" borderId="11" xfId="0" applyFont="1" applyBorder="1" applyAlignment="1">
      <alignment vertical="center" wrapText="1"/>
    </xf>
    <xf numFmtId="0" fontId="0" fillId="0" borderId="0" xfId="0" applyAlignment="1">
      <alignment vertical="center" wrapText="1"/>
    </xf>
    <xf numFmtId="15" fontId="0" fillId="0" borderId="0" xfId="0" applyNumberFormat="1" applyAlignment="1">
      <alignment/>
    </xf>
    <xf numFmtId="171" fontId="0" fillId="0" borderId="11" xfId="0" applyNumberFormat="1" applyBorder="1" applyAlignment="1">
      <alignment vertical="center" wrapText="1"/>
    </xf>
    <xf numFmtId="171" fontId="0" fillId="0" borderId="0" xfId="0" applyNumberFormat="1" applyAlignment="1">
      <alignment/>
    </xf>
    <xf numFmtId="0" fontId="0" fillId="0" borderId="11" xfId="0" applyBorder="1" applyAlignment="1">
      <alignment horizontal="center" vertical="center" wrapText="1"/>
    </xf>
    <xf numFmtId="9" fontId="0" fillId="0" borderId="0" xfId="0" applyNumberFormat="1" applyAlignment="1">
      <alignment/>
    </xf>
    <xf numFmtId="0" fontId="41" fillId="0" borderId="0" xfId="0" applyFont="1" applyAlignment="1">
      <alignment horizontal="center"/>
    </xf>
    <xf numFmtId="0" fontId="39" fillId="0" borderId="0" xfId="0" applyFont="1" applyAlignment="1">
      <alignment/>
    </xf>
    <xf numFmtId="0" fontId="39" fillId="0" borderId="13" xfId="0" applyFont="1" applyBorder="1" applyAlignment="1">
      <alignment/>
    </xf>
    <xf numFmtId="170" fontId="39" fillId="0" borderId="13" xfId="44" applyFont="1" applyBorder="1" applyAlignment="1">
      <alignment horizontal="center"/>
    </xf>
    <xf numFmtId="0" fontId="0" fillId="0" borderId="13" xfId="0" applyBorder="1" applyAlignment="1">
      <alignment/>
    </xf>
    <xf numFmtId="0" fontId="0" fillId="0" borderId="0" xfId="0" applyFont="1" applyAlignment="1">
      <alignment/>
    </xf>
    <xf numFmtId="0" fontId="0" fillId="0" borderId="13" xfId="0" applyFill="1" applyBorder="1" applyAlignment="1">
      <alignment/>
    </xf>
    <xf numFmtId="0" fontId="0" fillId="33" borderId="13" xfId="0" applyFill="1" applyBorder="1" applyAlignment="1">
      <alignment/>
    </xf>
    <xf numFmtId="170" fontId="39" fillId="0" borderId="13" xfId="44" applyFont="1" applyBorder="1" applyAlignment="1">
      <alignment/>
    </xf>
    <xf numFmtId="0" fontId="39" fillId="0" borderId="0" xfId="0" applyFont="1" applyBorder="1" applyAlignment="1">
      <alignment/>
    </xf>
    <xf numFmtId="170" fontId="39" fillId="0" borderId="0" xfId="44" applyFont="1" applyBorder="1" applyAlignment="1">
      <alignment/>
    </xf>
    <xf numFmtId="170" fontId="0" fillId="0" borderId="13" xfId="44" applyFont="1" applyFill="1" applyBorder="1" applyAlignment="1">
      <alignment/>
    </xf>
    <xf numFmtId="0" fontId="0" fillId="0" borderId="0" xfId="0" applyFill="1" applyAlignment="1">
      <alignment/>
    </xf>
    <xf numFmtId="0" fontId="39" fillId="0" borderId="13" xfId="0" applyFont="1" applyBorder="1" applyAlignment="1">
      <alignment horizontal="right"/>
    </xf>
    <xf numFmtId="0" fontId="39" fillId="0" borderId="11" xfId="0" applyFont="1" applyBorder="1" applyAlignment="1">
      <alignment horizontal="center"/>
    </xf>
    <xf numFmtId="0" fontId="39" fillId="0" borderId="14" xfId="0" applyFont="1" applyBorder="1" applyAlignment="1">
      <alignment/>
    </xf>
    <xf numFmtId="170" fontId="0" fillId="0" borderId="14" xfId="44" applyFont="1" applyBorder="1" applyAlignment="1">
      <alignment/>
    </xf>
    <xf numFmtId="0" fontId="0" fillId="0" borderId="14" xfId="0" applyBorder="1" applyAlignment="1">
      <alignment/>
    </xf>
    <xf numFmtId="171" fontId="0" fillId="0" borderId="13" xfId="0" applyNumberFormat="1" applyFill="1" applyBorder="1" applyAlignment="1">
      <alignment/>
    </xf>
    <xf numFmtId="0" fontId="0" fillId="0" borderId="11" xfId="0" applyBorder="1" applyAlignment="1">
      <alignment/>
    </xf>
    <xf numFmtId="0" fontId="0" fillId="0" borderId="0" xfId="0" applyFont="1" applyAlignment="1">
      <alignment/>
    </xf>
    <xf numFmtId="0" fontId="0" fillId="0" borderId="13" xfId="0" applyFont="1" applyFill="1" applyBorder="1" applyAlignment="1">
      <alignment/>
    </xf>
    <xf numFmtId="0" fontId="0" fillId="33" borderId="13" xfId="0" applyFont="1" applyFill="1" applyBorder="1" applyAlignment="1">
      <alignment/>
    </xf>
    <xf numFmtId="173" fontId="0" fillId="33" borderId="11" xfId="57" applyNumberFormat="1" applyFont="1" applyFill="1" applyBorder="1" applyAlignment="1">
      <alignment/>
    </xf>
    <xf numFmtId="0" fontId="42" fillId="0" borderId="0" xfId="0" applyFont="1" applyAlignment="1">
      <alignment/>
    </xf>
    <xf numFmtId="0" fontId="39" fillId="0" borderId="0" xfId="0" applyFont="1" applyAlignment="1">
      <alignment vertical="center"/>
    </xf>
    <xf numFmtId="0" fontId="0" fillId="0" borderId="13" xfId="0" applyBorder="1" applyAlignment="1">
      <alignment horizontal="center"/>
    </xf>
    <xf numFmtId="0" fontId="39" fillId="0" borderId="15" xfId="0" applyFont="1" applyBorder="1" applyAlignment="1">
      <alignment horizontal="center"/>
    </xf>
    <xf numFmtId="0" fontId="39" fillId="0" borderId="16" xfId="0" applyFont="1" applyBorder="1" applyAlignment="1">
      <alignment horizontal="center"/>
    </xf>
    <xf numFmtId="0" fontId="0" fillId="0" borderId="17" xfId="0" applyBorder="1" applyAlignment="1">
      <alignment horizontal="center"/>
    </xf>
    <xf numFmtId="0" fontId="0" fillId="0" borderId="17" xfId="0" applyBorder="1" applyAlignment="1">
      <alignment/>
    </xf>
    <xf numFmtId="0" fontId="0" fillId="0" borderId="11" xfId="0" applyBorder="1" applyAlignment="1">
      <alignment horizontal="center"/>
    </xf>
    <xf numFmtId="173" fontId="0" fillId="33" borderId="11" xfId="57" applyNumberFormat="1" applyFont="1" applyFill="1" applyBorder="1" applyAlignment="1">
      <alignment/>
    </xf>
    <xf numFmtId="173" fontId="0" fillId="0" borderId="11" xfId="57" applyNumberFormat="1" applyFont="1" applyBorder="1" applyAlignment="1">
      <alignment/>
    </xf>
    <xf numFmtId="9" fontId="0" fillId="0" borderId="0" xfId="57" applyFont="1" applyAlignment="1">
      <alignment/>
    </xf>
    <xf numFmtId="0" fontId="39" fillId="0" borderId="13" xfId="0" applyFont="1" applyBorder="1" applyAlignment="1">
      <alignment horizontal="center"/>
    </xf>
    <xf numFmtId="173" fontId="0" fillId="0" borderId="13" xfId="57" applyNumberFormat="1" applyFont="1" applyBorder="1" applyAlignment="1">
      <alignment horizontal="center"/>
    </xf>
    <xf numFmtId="0" fontId="39" fillId="0" borderId="11" xfId="0" applyFont="1" applyFill="1" applyBorder="1" applyAlignment="1">
      <alignment horizontal="center"/>
    </xf>
    <xf numFmtId="172" fontId="0" fillId="0" borderId="13" xfId="42" applyNumberFormat="1" applyFont="1" applyBorder="1" applyAlignment="1">
      <alignment horizontal="center"/>
    </xf>
    <xf numFmtId="172" fontId="0" fillId="0" borderId="18" xfId="42" applyNumberFormat="1" applyFont="1" applyBorder="1" applyAlignment="1">
      <alignment horizontal="center"/>
    </xf>
    <xf numFmtId="172" fontId="39" fillId="0" borderId="11" xfId="42" applyNumberFormat="1" applyFont="1" applyBorder="1" applyAlignment="1">
      <alignment horizontal="center"/>
    </xf>
    <xf numFmtId="170" fontId="39" fillId="0" borderId="11" xfId="44" applyFont="1" applyBorder="1" applyAlignment="1">
      <alignment horizontal="center" vertical="center" wrapText="1"/>
    </xf>
    <xf numFmtId="9" fontId="0" fillId="33" borderId="11" xfId="57" applyFont="1" applyFill="1" applyBorder="1" applyAlignment="1">
      <alignment horizontal="center"/>
    </xf>
    <xf numFmtId="174" fontId="0" fillId="0" borderId="0" xfId="0" applyNumberFormat="1" applyAlignment="1">
      <alignment/>
    </xf>
    <xf numFmtId="174" fontId="39" fillId="0" borderId="13" xfId="0" applyNumberFormat="1" applyFont="1" applyBorder="1" applyAlignment="1">
      <alignment horizontal="center"/>
    </xf>
    <xf numFmtId="0" fontId="39" fillId="33" borderId="11" xfId="0" applyFont="1" applyFill="1" applyBorder="1" applyAlignment="1">
      <alignment horizontal="center" vertical="center" wrapText="1"/>
    </xf>
    <xf numFmtId="0" fontId="39" fillId="0" borderId="0" xfId="0" applyFont="1" applyFill="1" applyBorder="1" applyAlignment="1">
      <alignment horizontal="left"/>
    </xf>
    <xf numFmtId="171" fontId="0" fillId="33" borderId="19" xfId="42" applyFont="1" applyFill="1" applyBorder="1" applyAlignment="1">
      <alignment/>
    </xf>
    <xf numFmtId="0" fontId="39" fillId="0" borderId="20" xfId="0" applyFont="1" applyBorder="1" applyAlignment="1">
      <alignment vertical="center" wrapText="1"/>
    </xf>
    <xf numFmtId="170" fontId="39" fillId="0" borderId="19" xfId="44" applyFont="1" applyBorder="1" applyAlignment="1">
      <alignment horizontal="center" vertical="center" wrapText="1"/>
    </xf>
    <xf numFmtId="0" fontId="0" fillId="0" borderId="0" xfId="0" applyAlignment="1">
      <alignment horizontal="left"/>
    </xf>
    <xf numFmtId="173" fontId="0" fillId="33" borderId="16" xfId="57" applyNumberFormat="1" applyFont="1" applyFill="1" applyBorder="1" applyAlignment="1">
      <alignment/>
    </xf>
    <xf numFmtId="173" fontId="39" fillId="0" borderId="13" xfId="57" applyNumberFormat="1" applyFont="1" applyBorder="1" applyAlignment="1">
      <alignment/>
    </xf>
    <xf numFmtId="0" fontId="39" fillId="0" borderId="21" xfId="0" applyFont="1" applyBorder="1" applyAlignment="1">
      <alignment horizontal="center"/>
    </xf>
    <xf numFmtId="0" fontId="0" fillId="0" borderId="22" xfId="0" applyBorder="1" applyAlignment="1">
      <alignment/>
    </xf>
    <xf numFmtId="0" fontId="39" fillId="0" borderId="22" xfId="0" applyFont="1" applyFill="1" applyBorder="1" applyAlignment="1">
      <alignment/>
    </xf>
    <xf numFmtId="173" fontId="0" fillId="0" borderId="13" xfId="57" applyNumberFormat="1" applyFont="1" applyBorder="1" applyAlignment="1">
      <alignment/>
    </xf>
    <xf numFmtId="173" fontId="0" fillId="0" borderId="13" xfId="0" applyNumberFormat="1" applyBorder="1" applyAlignment="1">
      <alignment/>
    </xf>
    <xf numFmtId="173" fontId="39" fillId="0" borderId="13" xfId="0" applyNumberFormat="1" applyFont="1" applyBorder="1" applyAlignment="1">
      <alignment/>
    </xf>
    <xf numFmtId="170" fontId="39" fillId="0" borderId="13" xfId="44" applyFont="1" applyBorder="1" applyAlignment="1">
      <alignment horizontal="right" vertical="center" wrapText="1"/>
    </xf>
    <xf numFmtId="0" fontId="39" fillId="0" borderId="13" xfId="0" applyFont="1" applyBorder="1" applyAlignment="1">
      <alignment horizontal="right" vertical="center" wrapText="1"/>
    </xf>
    <xf numFmtId="0" fontId="39" fillId="0" borderId="13" xfId="0" applyFont="1" applyBorder="1" applyAlignment="1">
      <alignment horizontal="left" vertical="center" wrapText="1"/>
    </xf>
    <xf numFmtId="170" fontId="39" fillId="0" borderId="13" xfId="44" applyFont="1" applyFill="1" applyBorder="1" applyAlignment="1">
      <alignment horizontal="center" vertical="center" wrapText="1"/>
    </xf>
    <xf numFmtId="0" fontId="0" fillId="33" borderId="13" xfId="0" applyFill="1" applyBorder="1" applyAlignment="1">
      <alignment horizontal="center"/>
    </xf>
    <xf numFmtId="0" fontId="39" fillId="33" borderId="13" xfId="0" applyFont="1" applyFill="1" applyBorder="1" applyAlignment="1">
      <alignment horizontal="center" vertical="center" wrapText="1"/>
    </xf>
    <xf numFmtId="171" fontId="0" fillId="33" borderId="23" xfId="42" applyFont="1" applyFill="1" applyBorder="1" applyAlignment="1">
      <alignment/>
    </xf>
    <xf numFmtId="171" fontId="0" fillId="33" borderId="19" xfId="42" applyFont="1" applyFill="1" applyBorder="1" applyAlignment="1">
      <alignment/>
    </xf>
    <xf numFmtId="0" fontId="39" fillId="0" borderId="11" xfId="0" applyFont="1" applyBorder="1" applyAlignment="1">
      <alignment horizontal="center"/>
    </xf>
    <xf numFmtId="0" fontId="39" fillId="0" borderId="0" xfId="0" applyFont="1" applyBorder="1" applyAlignment="1">
      <alignment horizontal="center"/>
    </xf>
    <xf numFmtId="0" fontId="39" fillId="0" borderId="11" xfId="0" applyFont="1" applyBorder="1" applyAlignment="1">
      <alignment horizontal="center" vertical="center" wrapText="1"/>
    </xf>
    <xf numFmtId="171" fontId="39" fillId="0" borderId="11" xfId="0" applyNumberFormat="1" applyFont="1" applyFill="1" applyBorder="1" applyAlignment="1">
      <alignment horizontal="left"/>
    </xf>
    <xf numFmtId="171" fontId="39" fillId="33" borderId="11" xfId="42" applyFont="1" applyFill="1" applyBorder="1" applyAlignment="1">
      <alignment horizontal="center"/>
    </xf>
    <xf numFmtId="172" fontId="0" fillId="33" borderId="11" xfId="42" applyNumberFormat="1" applyFont="1" applyFill="1" applyBorder="1" applyAlignment="1">
      <alignment/>
    </xf>
    <xf numFmtId="0" fontId="0" fillId="0" borderId="24" xfId="0" applyBorder="1" applyAlignment="1">
      <alignment/>
    </xf>
    <xf numFmtId="0" fontId="39" fillId="0" borderId="13" xfId="0" applyFont="1" applyBorder="1" applyAlignment="1">
      <alignment horizontal="center" vertical="center" wrapText="1"/>
    </xf>
    <xf numFmtId="0" fontId="0" fillId="0" borderId="25" xfId="0" applyBorder="1" applyAlignment="1">
      <alignment/>
    </xf>
    <xf numFmtId="0" fontId="0" fillId="33" borderId="25" xfId="0" applyFill="1" applyBorder="1" applyAlignment="1">
      <alignment horizontal="center"/>
    </xf>
    <xf numFmtId="170" fontId="39" fillId="0" borderId="13" xfId="44" applyFont="1" applyBorder="1" applyAlignment="1">
      <alignment horizontal="center" vertical="center" wrapText="1"/>
    </xf>
    <xf numFmtId="0" fontId="39" fillId="0" borderId="13" xfId="0" applyFont="1" applyFill="1" applyBorder="1" applyAlignment="1">
      <alignment horizontal="center" vertical="center" wrapText="1"/>
    </xf>
    <xf numFmtId="0" fontId="0" fillId="33" borderId="26" xfId="0" applyFill="1" applyBorder="1" applyAlignment="1">
      <alignment horizontal="center"/>
    </xf>
    <xf numFmtId="0" fontId="39" fillId="0" borderId="18" xfId="0" applyFont="1" applyFill="1" applyBorder="1" applyAlignment="1">
      <alignment horizontal="center" vertical="center" wrapText="1"/>
    </xf>
    <xf numFmtId="0" fontId="0" fillId="0" borderId="25" xfId="0" applyFill="1" applyBorder="1" applyAlignment="1">
      <alignment/>
    </xf>
    <xf numFmtId="0" fontId="43" fillId="0" borderId="13" xfId="0" applyFont="1" applyBorder="1" applyAlignment="1">
      <alignment horizontal="center" vertical="center" wrapText="1"/>
    </xf>
    <xf numFmtId="170" fontId="39" fillId="0" borderId="11" xfId="44" applyFont="1" applyBorder="1" applyAlignment="1">
      <alignment vertical="center" wrapText="1"/>
    </xf>
    <xf numFmtId="173" fontId="0" fillId="0" borderId="11" xfId="57" applyNumberFormat="1" applyFont="1" applyBorder="1" applyAlignment="1">
      <alignment/>
    </xf>
    <xf numFmtId="0" fontId="0" fillId="0" borderId="11" xfId="0" applyBorder="1" applyAlignment="1" quotePrefix="1">
      <alignment/>
    </xf>
    <xf numFmtId="175" fontId="0" fillId="0" borderId="11" xfId="44" applyNumberFormat="1" applyFont="1" applyBorder="1" applyAlignment="1">
      <alignment/>
    </xf>
    <xf numFmtId="175" fontId="0" fillId="0" borderId="0" xfId="44" applyNumberFormat="1" applyFont="1" applyAlignment="1">
      <alignment/>
    </xf>
    <xf numFmtId="174" fontId="39" fillId="0" borderId="13" xfId="0" applyNumberFormat="1" applyFont="1" applyBorder="1" applyAlignment="1">
      <alignment horizontal="right"/>
    </xf>
    <xf numFmtId="0" fontId="0" fillId="0" borderId="0" xfId="0" applyAlignment="1">
      <alignment horizontal="right"/>
    </xf>
    <xf numFmtId="0" fontId="0" fillId="0" borderId="13" xfId="0" applyFill="1" applyBorder="1" applyAlignment="1">
      <alignment horizontal="center"/>
    </xf>
    <xf numFmtId="172" fontId="39" fillId="0" borderId="13" xfId="42" applyNumberFormat="1" applyFont="1" applyBorder="1" applyAlignment="1">
      <alignment horizontal="center"/>
    </xf>
    <xf numFmtId="173" fontId="39" fillId="0" borderId="11" xfId="57" applyNumberFormat="1" applyFont="1" applyBorder="1" applyAlignment="1">
      <alignment/>
    </xf>
    <xf numFmtId="0" fontId="39" fillId="0" borderId="22" xfId="0" applyFont="1" applyBorder="1" applyAlignment="1">
      <alignment vertical="center" wrapText="1"/>
    </xf>
    <xf numFmtId="170" fontId="39" fillId="0" borderId="26" xfId="44" applyFont="1" applyBorder="1" applyAlignment="1">
      <alignment horizontal="center" vertical="center" wrapText="1"/>
    </xf>
    <xf numFmtId="170" fontId="0" fillId="0" borderId="11" xfId="44" applyFont="1" applyBorder="1" applyAlignment="1">
      <alignment/>
    </xf>
    <xf numFmtId="170" fontId="0" fillId="33" borderId="11" xfId="44" applyFont="1" applyFill="1" applyBorder="1" applyAlignment="1">
      <alignment horizontal="left"/>
    </xf>
    <xf numFmtId="174" fontId="0" fillId="33" borderId="26" xfId="44" applyNumberFormat="1" applyFont="1" applyFill="1" applyBorder="1" applyAlignment="1">
      <alignment horizontal="right"/>
    </xf>
    <xf numFmtId="174" fontId="0" fillId="0" borderId="10" xfId="0" applyNumberFormat="1" applyBorder="1" applyAlignment="1">
      <alignment/>
    </xf>
    <xf numFmtId="0" fontId="39" fillId="0" borderId="20" xfId="0" applyFont="1" applyBorder="1" applyAlignment="1">
      <alignment horizontal="center" vertical="center" wrapText="1"/>
    </xf>
    <xf numFmtId="171" fontId="0" fillId="0" borderId="12" xfId="0" applyNumberFormat="1" applyFill="1" applyBorder="1" applyAlignment="1">
      <alignment horizontal="center"/>
    </xf>
    <xf numFmtId="171" fontId="0" fillId="0" borderId="22" xfId="0" applyNumberFormat="1" applyFill="1" applyBorder="1" applyAlignment="1">
      <alignment horizontal="center"/>
    </xf>
    <xf numFmtId="0" fontId="0" fillId="0" borderId="27" xfId="0" applyBorder="1" applyAlignment="1">
      <alignment horizontal="center"/>
    </xf>
    <xf numFmtId="0" fontId="0" fillId="0" borderId="27" xfId="0" applyBorder="1" applyAlignment="1">
      <alignment/>
    </xf>
    <xf numFmtId="0" fontId="0" fillId="0" borderId="11" xfId="0" applyBorder="1" applyAlignment="1">
      <alignment horizontal="center" vertical="center" wrapText="1"/>
    </xf>
    <xf numFmtId="174" fontId="0" fillId="0" borderId="11" xfId="0" applyNumberFormat="1" applyBorder="1" applyAlignment="1">
      <alignment horizontal="center"/>
    </xf>
    <xf numFmtId="174" fontId="0" fillId="0" borderId="11" xfId="44" applyNumberFormat="1" applyFont="1" applyBorder="1" applyAlignment="1">
      <alignment/>
    </xf>
    <xf numFmtId="0" fontId="0" fillId="0" borderId="22" xfId="0" applyFill="1" applyBorder="1" applyAlignment="1">
      <alignment/>
    </xf>
    <xf numFmtId="170" fontId="0" fillId="0" borderId="26" xfId="44" applyFont="1" applyFill="1" applyBorder="1" applyAlignment="1">
      <alignment/>
    </xf>
    <xf numFmtId="0" fontId="0" fillId="0" borderId="11" xfId="0" applyFill="1" applyBorder="1" applyAlignment="1">
      <alignment/>
    </xf>
    <xf numFmtId="0" fontId="0" fillId="34" borderId="0" xfId="0" applyFill="1" applyAlignment="1">
      <alignment horizontal="center"/>
    </xf>
    <xf numFmtId="0" fontId="0" fillId="34" borderId="0" xfId="0" applyFill="1" applyAlignment="1">
      <alignment/>
    </xf>
    <xf numFmtId="171" fontId="0" fillId="34" borderId="0" xfId="0" applyNumberFormat="1" applyFill="1" applyAlignment="1">
      <alignment/>
    </xf>
    <xf numFmtId="171" fontId="0" fillId="34" borderId="0" xfId="42" applyFont="1" applyFill="1" applyAlignment="1">
      <alignment/>
    </xf>
    <xf numFmtId="0" fontId="39" fillId="0" borderId="20" xfId="0" applyFont="1" applyBorder="1" applyAlignment="1">
      <alignment horizontal="left"/>
    </xf>
    <xf numFmtId="0" fontId="39" fillId="0" borderId="24" xfId="0" applyFont="1" applyBorder="1" applyAlignment="1">
      <alignment horizontal="left"/>
    </xf>
    <xf numFmtId="0" fontId="39" fillId="0" borderId="19" xfId="0" applyFont="1" applyBorder="1" applyAlignment="1">
      <alignment horizontal="left"/>
    </xf>
    <xf numFmtId="0" fontId="0" fillId="0" borderId="12" xfId="0" applyFont="1" applyFill="1" applyBorder="1" applyAlignment="1">
      <alignment/>
    </xf>
    <xf numFmtId="170" fontId="39" fillId="0" borderId="18" xfId="44" applyFont="1" applyFill="1" applyBorder="1" applyAlignment="1">
      <alignment horizontal="center" vertical="center" wrapText="1"/>
    </xf>
    <xf numFmtId="173" fontId="0" fillId="0" borderId="11" xfId="57" applyNumberFormat="1" applyFont="1" applyBorder="1" applyAlignment="1">
      <alignment horizontal="center"/>
    </xf>
    <xf numFmtId="0" fontId="44" fillId="0" borderId="0" xfId="0" applyFont="1" applyAlignment="1">
      <alignment/>
    </xf>
    <xf numFmtId="0" fontId="39" fillId="0" borderId="0" xfId="0" applyFont="1" applyAlignment="1">
      <alignment vertical="center" wrapText="1"/>
    </xf>
    <xf numFmtId="171" fontId="0" fillId="0" borderId="11" xfId="0" applyNumberFormat="1" applyBorder="1" applyAlignment="1">
      <alignment horizontal="center"/>
    </xf>
    <xf numFmtId="0" fontId="39" fillId="0" borderId="20" xfId="0" applyFont="1" applyBorder="1" applyAlignment="1">
      <alignment horizontal="left"/>
    </xf>
    <xf numFmtId="0" fontId="39" fillId="0" borderId="24" xfId="0" applyFont="1" applyBorder="1" applyAlignment="1">
      <alignment horizontal="left"/>
    </xf>
    <xf numFmtId="0" fontId="39" fillId="33" borderId="11" xfId="0" applyFont="1" applyFill="1" applyBorder="1" applyAlignment="1">
      <alignment horizontal="center"/>
    </xf>
    <xf numFmtId="0" fontId="39" fillId="0" borderId="20" xfId="0" applyFont="1" applyBorder="1" applyAlignment="1">
      <alignment horizontal="left" vertical="center" wrapText="1"/>
    </xf>
    <xf numFmtId="0" fontId="39" fillId="0" borderId="19" xfId="0" applyFont="1" applyBorder="1" applyAlignment="1">
      <alignment horizontal="left" vertical="center" wrapText="1"/>
    </xf>
    <xf numFmtId="0" fontId="0" fillId="0" borderId="20" xfId="0" applyFont="1" applyFill="1" applyBorder="1" applyAlignment="1">
      <alignment horizontal="left"/>
    </xf>
    <xf numFmtId="0" fontId="0" fillId="0" borderId="19" xfId="0" applyFont="1" applyFill="1" applyBorder="1" applyAlignment="1">
      <alignment horizontal="left"/>
    </xf>
    <xf numFmtId="0" fontId="0" fillId="0" borderId="20" xfId="0" applyFill="1" applyBorder="1" applyAlignment="1">
      <alignment horizontal="left"/>
    </xf>
    <xf numFmtId="0" fontId="0" fillId="0" borderId="19" xfId="0" applyFill="1" applyBorder="1" applyAlignment="1">
      <alignment horizontal="left"/>
    </xf>
    <xf numFmtId="0" fontId="39" fillId="0" borderId="19" xfId="0" applyFont="1" applyBorder="1" applyAlignment="1">
      <alignment horizontal="left"/>
    </xf>
    <xf numFmtId="0" fontId="0" fillId="0" borderId="24" xfId="0" applyFill="1" applyBorder="1" applyAlignment="1">
      <alignment horizontal="left"/>
    </xf>
    <xf numFmtId="0" fontId="39" fillId="0" borderId="20" xfId="0" applyFont="1" applyFill="1" applyBorder="1" applyAlignment="1">
      <alignment horizontal="left"/>
    </xf>
    <xf numFmtId="0" fontId="39" fillId="0" borderId="24" xfId="0" applyFont="1" applyFill="1" applyBorder="1" applyAlignment="1">
      <alignment horizontal="left"/>
    </xf>
    <xf numFmtId="0" fontId="39" fillId="0" borderId="19" xfId="0" applyFont="1" applyFill="1" applyBorder="1" applyAlignment="1">
      <alignment horizontal="left"/>
    </xf>
    <xf numFmtId="0" fontId="0" fillId="25" borderId="21" xfId="0" applyFill="1" applyBorder="1" applyAlignment="1">
      <alignment horizontal="center" vertical="center" wrapText="1"/>
    </xf>
    <xf numFmtId="0" fontId="0" fillId="25" borderId="15" xfId="0" applyFill="1" applyBorder="1" applyAlignment="1">
      <alignment horizontal="center" vertical="center" wrapText="1"/>
    </xf>
    <xf numFmtId="0" fontId="0" fillId="25" borderId="28" xfId="0" applyFill="1" applyBorder="1" applyAlignment="1">
      <alignment horizontal="center" vertical="center" wrapText="1"/>
    </xf>
    <xf numFmtId="0" fontId="0" fillId="25" borderId="29" xfId="0" applyFill="1" applyBorder="1" applyAlignment="1">
      <alignment horizontal="center" vertical="center" wrapText="1"/>
    </xf>
    <xf numFmtId="0" fontId="0" fillId="25" borderId="30" xfId="0" applyFill="1" applyBorder="1" applyAlignment="1">
      <alignment horizontal="center" vertical="center" wrapText="1"/>
    </xf>
    <xf numFmtId="0" fontId="0" fillId="25" borderId="23" xfId="0" applyFill="1" applyBorder="1" applyAlignment="1">
      <alignment horizontal="center" vertical="center" wrapText="1"/>
    </xf>
    <xf numFmtId="0" fontId="0" fillId="35" borderId="13" xfId="0" applyFill="1" applyBorder="1" applyAlignment="1">
      <alignment horizontal="center" vertical="center" wrapText="1"/>
    </xf>
    <xf numFmtId="0" fontId="39" fillId="0" borderId="13" xfId="0" applyFont="1" applyFill="1" applyBorder="1" applyAlignment="1">
      <alignment horizontal="left"/>
    </xf>
    <xf numFmtId="0" fontId="39" fillId="0" borderId="11" xfId="0" applyFont="1" applyBorder="1" applyAlignment="1">
      <alignment horizontal="center"/>
    </xf>
    <xf numFmtId="0" fontId="39" fillId="0" borderId="13" xfId="0" applyFont="1" applyBorder="1" applyAlignment="1">
      <alignment horizontal="left"/>
    </xf>
    <xf numFmtId="0" fontId="0" fillId="0" borderId="11" xfId="0" applyBorder="1" applyAlignment="1">
      <alignment horizontal="center" vertical="center" wrapText="1"/>
    </xf>
    <xf numFmtId="0" fontId="0" fillId="0" borderId="13" xfId="0" applyBorder="1" applyAlignment="1">
      <alignment horizontal="left"/>
    </xf>
    <xf numFmtId="0" fontId="0" fillId="0" borderId="22" xfId="0" applyBorder="1" applyAlignment="1">
      <alignment horizontal="left"/>
    </xf>
    <xf numFmtId="0" fontId="0" fillId="0" borderId="18" xfId="0" applyBorder="1" applyAlignment="1">
      <alignment horizontal="left"/>
    </xf>
    <xf numFmtId="0" fontId="0" fillId="33" borderId="13" xfId="0" applyFill="1" applyBorder="1" applyAlignment="1">
      <alignment horizontal="left" vertical="center" wrapText="1"/>
    </xf>
    <xf numFmtId="0" fontId="39" fillId="0" borderId="24" xfId="0" applyFont="1" applyBorder="1" applyAlignment="1">
      <alignment horizontal="center"/>
    </xf>
    <xf numFmtId="0" fontId="39" fillId="0" borderId="19" xfId="0" applyFont="1" applyBorder="1" applyAlignment="1">
      <alignment horizontal="center"/>
    </xf>
    <xf numFmtId="0" fontId="39" fillId="0" borderId="20" xfId="0" applyFont="1" applyBorder="1" applyAlignment="1">
      <alignment horizontal="center"/>
    </xf>
    <xf numFmtId="0" fontId="0" fillId="0" borderId="22" xfId="0" applyBorder="1" applyAlignment="1">
      <alignment horizontal="center"/>
    </xf>
    <xf numFmtId="0" fontId="0" fillId="0" borderId="31" xfId="0" applyBorder="1" applyAlignment="1">
      <alignment horizontal="center"/>
    </xf>
    <xf numFmtId="0" fontId="0" fillId="0" borderId="26" xfId="0" applyBorder="1" applyAlignment="1">
      <alignment horizontal="center"/>
    </xf>
    <xf numFmtId="0" fontId="39" fillId="0" borderId="22" xfId="0" applyFont="1" applyBorder="1" applyAlignment="1">
      <alignment horizontal="left"/>
    </xf>
    <xf numFmtId="0" fontId="39" fillId="0" borderId="31" xfId="0" applyFont="1" applyBorder="1" applyAlignment="1">
      <alignment horizontal="left"/>
    </xf>
    <xf numFmtId="0" fontId="39" fillId="0" borderId="26" xfId="0" applyFont="1" applyBorder="1" applyAlignment="1">
      <alignment horizontal="left"/>
    </xf>
    <xf numFmtId="0" fontId="39" fillId="0" borderId="11" xfId="0" applyFont="1" applyBorder="1" applyAlignment="1">
      <alignment horizontal="center" vertical="center" wrapText="1"/>
    </xf>
    <xf numFmtId="0" fontId="0" fillId="0" borderId="20" xfId="0" applyBorder="1" applyAlignment="1">
      <alignment horizontal="right"/>
    </xf>
    <xf numFmtId="0" fontId="0" fillId="0" borderId="24" xfId="0" applyBorder="1" applyAlignment="1">
      <alignment horizontal="right"/>
    </xf>
    <xf numFmtId="0" fontId="0" fillId="0" borderId="19" xfId="0" applyBorder="1" applyAlignment="1">
      <alignment horizontal="right"/>
    </xf>
    <xf numFmtId="176" fontId="0" fillId="33" borderId="11" xfId="44" applyNumberFormat="1" applyFont="1" applyFill="1" applyBorder="1" applyAlignment="1">
      <alignment/>
    </xf>
    <xf numFmtId="176" fontId="0" fillId="0" borderId="22" xfId="44" applyNumberFormat="1" applyFont="1" applyBorder="1" applyAlignment="1">
      <alignment horizontal="center"/>
    </xf>
    <xf numFmtId="176" fontId="0" fillId="0" borderId="22" xfId="44" applyNumberFormat="1" applyFont="1" applyFill="1" applyBorder="1" applyAlignment="1">
      <alignment horizontal="center"/>
    </xf>
    <xf numFmtId="176" fontId="39" fillId="0" borderId="11" xfId="44" applyNumberFormat="1" applyFont="1" applyBorder="1" applyAlignment="1">
      <alignment horizontal="center"/>
    </xf>
    <xf numFmtId="176" fontId="0" fillId="0" borderId="11" xfId="44" applyNumberFormat="1" applyFont="1" applyBorder="1" applyAlignment="1">
      <alignment horizontal="center"/>
    </xf>
    <xf numFmtId="176" fontId="0" fillId="0" borderId="16" xfId="44" applyNumberFormat="1" applyFont="1" applyBorder="1" applyAlignment="1">
      <alignment horizontal="center"/>
    </xf>
    <xf numFmtId="176" fontId="0" fillId="0" borderId="11" xfId="44" applyNumberFormat="1" applyFont="1" applyFill="1" applyBorder="1" applyAlignment="1">
      <alignment horizontal="center"/>
    </xf>
    <xf numFmtId="176" fontId="39" fillId="0" borderId="11" xfId="44" applyNumberFormat="1" applyFont="1" applyFill="1" applyBorder="1" applyAlignment="1">
      <alignment horizontal="center"/>
    </xf>
    <xf numFmtId="176" fontId="0" fillId="0" borderId="13" xfId="44" applyNumberFormat="1" applyFont="1" applyFill="1" applyBorder="1" applyAlignment="1">
      <alignment/>
    </xf>
    <xf numFmtId="176" fontId="0" fillId="0" borderId="13" xfId="44" applyNumberFormat="1" applyFont="1" applyBorder="1" applyAlignment="1">
      <alignment/>
    </xf>
    <xf numFmtId="176" fontId="0" fillId="33" borderId="26" xfId="44" applyNumberFormat="1" applyFont="1" applyFill="1" applyBorder="1" applyAlignment="1">
      <alignment horizontal="right"/>
    </xf>
    <xf numFmtId="176" fontId="0" fillId="33" borderId="31" xfId="44" applyNumberFormat="1" applyFont="1" applyFill="1" applyBorder="1" applyAlignment="1">
      <alignment horizontal="center"/>
    </xf>
    <xf numFmtId="176" fontId="0" fillId="33" borderId="26" xfId="44" applyNumberFormat="1" applyFont="1" applyFill="1" applyBorder="1" applyAlignment="1">
      <alignment horizontal="center"/>
    </xf>
    <xf numFmtId="176" fontId="0" fillId="33" borderId="25" xfId="44" applyNumberFormat="1" applyFont="1" applyFill="1" applyBorder="1" applyAlignment="1">
      <alignment horizontal="center"/>
    </xf>
    <xf numFmtId="176" fontId="0" fillId="33" borderId="13" xfId="44" applyNumberFormat="1" applyFont="1" applyFill="1" applyBorder="1" applyAlignment="1">
      <alignment horizontal="center"/>
    </xf>
    <xf numFmtId="176" fontId="0" fillId="0" borderId="13" xfId="44" applyNumberFormat="1" applyFont="1" applyBorder="1" applyAlignment="1">
      <alignment horizontal="right"/>
    </xf>
    <xf numFmtId="176" fontId="39" fillId="0" borderId="25" xfId="44" applyNumberFormat="1" applyFont="1" applyFill="1" applyBorder="1" applyAlignment="1">
      <alignment horizontal="center"/>
    </xf>
    <xf numFmtId="176" fontId="39" fillId="0" borderId="13" xfId="44" applyNumberFormat="1" applyFont="1" applyBorder="1" applyAlignment="1">
      <alignment/>
    </xf>
    <xf numFmtId="176" fontId="0" fillId="33" borderId="13" xfId="44" applyNumberFormat="1" applyFont="1" applyFill="1" applyBorder="1" applyAlignment="1">
      <alignment/>
    </xf>
    <xf numFmtId="176" fontId="0" fillId="0" borderId="11" xfId="44" applyNumberFormat="1" applyFont="1" applyBorder="1" applyAlignment="1">
      <alignment/>
    </xf>
    <xf numFmtId="176" fontId="39" fillId="0" borderId="11" xfId="44" applyNumberFormat="1" applyFont="1" applyBorder="1" applyAlignment="1">
      <alignment/>
    </xf>
    <xf numFmtId="176" fontId="0" fillId="0" borderId="11" xfId="44" applyNumberFormat="1" applyFont="1" applyFill="1" applyBorder="1" applyAlignment="1">
      <alignment/>
    </xf>
    <xf numFmtId="176" fontId="39" fillId="0" borderId="13" xfId="0" applyNumberFormat="1" applyFont="1" applyBorder="1" applyAlignment="1">
      <alignment/>
    </xf>
    <xf numFmtId="176" fontId="0" fillId="0" borderId="13" xfId="0" applyNumberFormat="1" applyBorder="1" applyAlignment="1">
      <alignment horizontal="center"/>
    </xf>
    <xf numFmtId="176" fontId="0" fillId="0" borderId="18" xfId="0" applyNumberFormat="1" applyBorder="1" applyAlignment="1">
      <alignment horizontal="center"/>
    </xf>
    <xf numFmtId="176" fontId="39" fillId="0" borderId="11" xfId="0" applyNumberFormat="1" applyFont="1" applyBorder="1" applyAlignment="1">
      <alignment horizontal="center"/>
    </xf>
    <xf numFmtId="176" fontId="0" fillId="0" borderId="20" xfId="44" applyNumberFormat="1" applyFont="1" applyBorder="1" applyAlignment="1">
      <alignment/>
    </xf>
    <xf numFmtId="176" fontId="39" fillId="0" borderId="20" xfId="44" applyNumberFormat="1" applyFont="1" applyBorder="1" applyAlignment="1">
      <alignment/>
    </xf>
    <xf numFmtId="176" fontId="0" fillId="0" borderId="18" xfId="44" applyNumberFormat="1" applyFont="1" applyBorder="1" applyAlignment="1">
      <alignment horizontal="right"/>
    </xf>
    <xf numFmtId="176" fontId="39" fillId="0" borderId="11" xfId="0" applyNumberFormat="1" applyFont="1" applyBorder="1" applyAlignment="1">
      <alignment horizontal="right"/>
    </xf>
    <xf numFmtId="177" fontId="39" fillId="0" borderId="11" xfId="44" applyNumberFormat="1" applyFont="1" applyBorder="1" applyAlignment="1">
      <alignment/>
    </xf>
    <xf numFmtId="177" fontId="0" fillId="0" borderId="11" xfId="44" applyNumberFormat="1"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113"/>
  <sheetViews>
    <sheetView zoomScalePageLayoutView="0" workbookViewId="0" topLeftCell="A1">
      <selection activeCell="D107" activeCellId="9" sqref="D63:D90 D92 D94 D99 D102 D103 D104 D105 D106 D107"/>
    </sheetView>
  </sheetViews>
  <sheetFormatPr defaultColWidth="8.8515625" defaultRowHeight="15"/>
  <cols>
    <col min="1" max="1" width="29.140625" style="0" customWidth="1"/>
    <col min="2" max="2" width="11.28125" style="1" bestFit="1" customWidth="1"/>
    <col min="3" max="3" width="11.28125" style="1" customWidth="1"/>
    <col min="4" max="4" width="10.140625" style="11" customWidth="1"/>
    <col min="5" max="5" width="9.00390625" style="12" customWidth="1"/>
    <col min="6" max="6" width="8.00390625" style="12" customWidth="1"/>
    <col min="7" max="8" width="7.140625" style="12" customWidth="1"/>
    <col min="9" max="14" width="10.421875" style="0" customWidth="1"/>
  </cols>
  <sheetData>
    <row r="1" spans="1:8" ht="15">
      <c r="A1" s="179" t="s">
        <v>3</v>
      </c>
      <c r="B1" s="179"/>
      <c r="C1" s="179"/>
      <c r="D1" s="179"/>
      <c r="E1" s="179"/>
      <c r="F1" s="179"/>
      <c r="G1" s="179"/>
      <c r="H1" s="102"/>
    </row>
    <row r="2" spans="1:8" ht="15">
      <c r="A2" s="15" t="s">
        <v>2</v>
      </c>
      <c r="B2" s="17" t="s">
        <v>4</v>
      </c>
      <c r="C2" s="19" t="s">
        <v>5</v>
      </c>
      <c r="D2" s="16" t="s">
        <v>85</v>
      </c>
      <c r="E2" s="18" t="s">
        <v>1</v>
      </c>
      <c r="F2" s="18" t="s">
        <v>7</v>
      </c>
      <c r="G2" s="18" t="s">
        <v>8</v>
      </c>
      <c r="H2" s="101" t="s">
        <v>114</v>
      </c>
    </row>
    <row r="3" spans="1:11" ht="14.25" customHeight="1">
      <c r="A3" s="4" t="s">
        <v>169</v>
      </c>
      <c r="B3" s="199">
        <v>21</v>
      </c>
      <c r="C3" s="6">
        <v>20</v>
      </c>
      <c r="D3" s="7"/>
      <c r="E3" s="8" t="s">
        <v>6</v>
      </c>
      <c r="F3" s="8"/>
      <c r="G3" s="8"/>
      <c r="H3" s="8"/>
      <c r="J3" s="171" t="s">
        <v>215</v>
      </c>
      <c r="K3" s="172"/>
    </row>
    <row r="4" spans="1:11" ht="15">
      <c r="A4" s="4" t="s">
        <v>170</v>
      </c>
      <c r="B4" s="199">
        <v>22</v>
      </c>
      <c r="C4" s="6">
        <v>40</v>
      </c>
      <c r="D4" s="7" t="s">
        <v>6</v>
      </c>
      <c r="E4" s="8"/>
      <c r="F4" s="8"/>
      <c r="G4" s="8"/>
      <c r="H4" s="8"/>
      <c r="J4" s="173"/>
      <c r="K4" s="174"/>
    </row>
    <row r="5" spans="1:11" ht="15">
      <c r="A5" s="4" t="s">
        <v>171</v>
      </c>
      <c r="B5" s="199">
        <v>58</v>
      </c>
      <c r="C5" s="6">
        <v>18</v>
      </c>
      <c r="D5" s="7" t="s">
        <v>6</v>
      </c>
      <c r="E5" s="8"/>
      <c r="F5" s="8"/>
      <c r="G5" s="8"/>
      <c r="H5" s="8" t="s">
        <v>46</v>
      </c>
      <c r="J5" s="173"/>
      <c r="K5" s="174"/>
    </row>
    <row r="6" spans="1:11" ht="15">
      <c r="A6" s="4" t="s">
        <v>172</v>
      </c>
      <c r="B6" s="199">
        <v>6</v>
      </c>
      <c r="C6" s="6">
        <v>10</v>
      </c>
      <c r="D6" s="7"/>
      <c r="E6" s="8" t="s">
        <v>6</v>
      </c>
      <c r="F6" s="8"/>
      <c r="G6" s="8"/>
      <c r="H6" s="8"/>
      <c r="J6" s="173"/>
      <c r="K6" s="174"/>
    </row>
    <row r="7" spans="1:11" ht="15">
      <c r="A7" s="4" t="s">
        <v>152</v>
      </c>
      <c r="B7" s="199">
        <v>19</v>
      </c>
      <c r="C7" s="6">
        <v>4</v>
      </c>
      <c r="D7" s="7"/>
      <c r="E7" s="8"/>
      <c r="F7" s="8"/>
      <c r="G7" s="8" t="s">
        <v>6</v>
      </c>
      <c r="H7" s="8"/>
      <c r="J7" s="173"/>
      <c r="K7" s="174"/>
    </row>
    <row r="8" spans="1:11" ht="15">
      <c r="A8" s="4" t="s">
        <v>153</v>
      </c>
      <c r="B8" s="199">
        <v>28</v>
      </c>
      <c r="C8" s="6">
        <v>2.5</v>
      </c>
      <c r="D8" s="7"/>
      <c r="E8" s="8" t="s">
        <v>6</v>
      </c>
      <c r="F8" s="8"/>
      <c r="G8" s="8"/>
      <c r="H8" s="8"/>
      <c r="J8" s="173"/>
      <c r="K8" s="174"/>
    </row>
    <row r="9" spans="1:11" ht="15">
      <c r="A9" s="4" t="s">
        <v>154</v>
      </c>
      <c r="B9" s="199">
        <v>20</v>
      </c>
      <c r="C9" s="6">
        <v>1</v>
      </c>
      <c r="D9" s="7"/>
      <c r="E9" s="8"/>
      <c r="F9" s="8" t="s">
        <v>6</v>
      </c>
      <c r="G9" s="8"/>
      <c r="H9" s="8" t="s">
        <v>46</v>
      </c>
      <c r="J9" s="173"/>
      <c r="K9" s="174"/>
    </row>
    <row r="10" spans="1:11" ht="15">
      <c r="A10" s="4" t="s">
        <v>173</v>
      </c>
      <c r="B10" s="199">
        <v>13</v>
      </c>
      <c r="C10" s="6">
        <v>500</v>
      </c>
      <c r="D10" s="7"/>
      <c r="E10" s="8"/>
      <c r="F10" s="8"/>
      <c r="G10" s="8"/>
      <c r="H10" s="8" t="s">
        <v>6</v>
      </c>
      <c r="J10" s="173"/>
      <c r="K10" s="174"/>
    </row>
    <row r="11" spans="1:11" ht="15">
      <c r="A11" s="4"/>
      <c r="B11" s="199"/>
      <c r="C11" s="6"/>
      <c r="D11" s="7"/>
      <c r="E11" s="8"/>
      <c r="F11" s="8"/>
      <c r="G11" s="8"/>
      <c r="H11" s="8"/>
      <c r="J11" s="173"/>
      <c r="K11" s="174"/>
    </row>
    <row r="12" spans="1:11" ht="15">
      <c r="A12" s="4"/>
      <c r="B12" s="199"/>
      <c r="C12" s="6"/>
      <c r="D12" s="7"/>
      <c r="E12" s="8"/>
      <c r="F12" s="8"/>
      <c r="G12" s="8"/>
      <c r="H12" s="8"/>
      <c r="J12" s="173"/>
      <c r="K12" s="174"/>
    </row>
    <row r="13" spans="1:11" ht="15">
      <c r="A13" s="4"/>
      <c r="B13" s="199"/>
      <c r="C13" s="6"/>
      <c r="D13" s="7"/>
      <c r="E13" s="8"/>
      <c r="F13" s="8"/>
      <c r="G13" s="8"/>
      <c r="H13" s="8"/>
      <c r="J13" s="173"/>
      <c r="K13" s="174"/>
    </row>
    <row r="14" spans="1:11" ht="15">
      <c r="A14" s="4"/>
      <c r="B14" s="199"/>
      <c r="C14" s="6"/>
      <c r="D14" s="7"/>
      <c r="E14" s="8"/>
      <c r="F14" s="8"/>
      <c r="G14" s="8"/>
      <c r="H14" s="8"/>
      <c r="J14" s="173"/>
      <c r="K14" s="174"/>
    </row>
    <row r="15" spans="1:11" ht="15">
      <c r="A15" s="4"/>
      <c r="B15" s="199"/>
      <c r="C15" s="6"/>
      <c r="D15" s="7"/>
      <c r="E15" s="8"/>
      <c r="F15" s="8"/>
      <c r="G15" s="8"/>
      <c r="H15" s="8"/>
      <c r="J15" s="173"/>
      <c r="K15" s="174"/>
    </row>
    <row r="16" spans="1:11" ht="15">
      <c r="A16" s="4"/>
      <c r="B16" s="199"/>
      <c r="C16" s="6"/>
      <c r="D16" s="7"/>
      <c r="E16" s="8"/>
      <c r="F16" s="8"/>
      <c r="G16" s="8"/>
      <c r="H16" s="8"/>
      <c r="J16" s="173"/>
      <c r="K16" s="174"/>
    </row>
    <row r="17" spans="1:11" ht="15">
      <c r="A17" s="4"/>
      <c r="B17" s="199"/>
      <c r="C17" s="6"/>
      <c r="D17" s="7"/>
      <c r="E17" s="8"/>
      <c r="F17" s="8"/>
      <c r="G17" s="8"/>
      <c r="H17" s="8"/>
      <c r="J17" s="173"/>
      <c r="K17" s="174"/>
    </row>
    <row r="18" spans="1:11" ht="15">
      <c r="A18" s="4"/>
      <c r="B18" s="199"/>
      <c r="C18" s="6"/>
      <c r="D18" s="7"/>
      <c r="E18" s="8"/>
      <c r="F18" s="8"/>
      <c r="G18" s="8"/>
      <c r="H18" s="8"/>
      <c r="J18" s="173"/>
      <c r="K18" s="174"/>
    </row>
    <row r="19" spans="1:11" ht="15">
      <c r="A19" s="4"/>
      <c r="B19" s="199"/>
      <c r="C19" s="6"/>
      <c r="D19" s="7"/>
      <c r="E19" s="8"/>
      <c r="F19" s="8"/>
      <c r="G19" s="8"/>
      <c r="H19" s="8"/>
      <c r="J19" s="173"/>
      <c r="K19" s="174"/>
    </row>
    <row r="20" spans="1:11" ht="15">
      <c r="A20" s="4"/>
      <c r="B20" s="199"/>
      <c r="C20" s="6"/>
      <c r="D20" s="7"/>
      <c r="E20" s="8"/>
      <c r="F20" s="8"/>
      <c r="G20" s="8"/>
      <c r="H20" s="8"/>
      <c r="J20" s="173"/>
      <c r="K20" s="174"/>
    </row>
    <row r="21" spans="1:11" ht="15">
      <c r="A21" s="4"/>
      <c r="B21" s="199"/>
      <c r="C21" s="6"/>
      <c r="D21" s="7"/>
      <c r="E21" s="8"/>
      <c r="F21" s="8"/>
      <c r="G21" s="8"/>
      <c r="H21" s="8"/>
      <c r="J21" s="173"/>
      <c r="K21" s="174"/>
    </row>
    <row r="22" spans="1:11" ht="15">
      <c r="A22" s="4"/>
      <c r="B22" s="199"/>
      <c r="C22" s="6"/>
      <c r="D22" s="7"/>
      <c r="E22" s="8"/>
      <c r="F22" s="8"/>
      <c r="G22" s="8"/>
      <c r="H22" s="8"/>
      <c r="J22" s="173"/>
      <c r="K22" s="174"/>
    </row>
    <row r="23" spans="1:11" ht="15">
      <c r="A23" s="4"/>
      <c r="B23" s="199"/>
      <c r="C23" s="6"/>
      <c r="D23" s="7"/>
      <c r="E23" s="8"/>
      <c r="F23" s="8"/>
      <c r="G23" s="8"/>
      <c r="H23" s="8"/>
      <c r="J23" s="173"/>
      <c r="K23" s="174"/>
    </row>
    <row r="24" spans="1:11" ht="15">
      <c r="A24" s="4"/>
      <c r="B24" s="199"/>
      <c r="C24" s="6"/>
      <c r="D24" s="7"/>
      <c r="E24" s="8"/>
      <c r="F24" s="8"/>
      <c r="G24" s="8"/>
      <c r="H24" s="8"/>
      <c r="J24" s="173"/>
      <c r="K24" s="174"/>
    </row>
    <row r="25" spans="1:11" ht="15">
      <c r="A25" s="4"/>
      <c r="B25" s="199"/>
      <c r="C25" s="6"/>
      <c r="D25" s="7"/>
      <c r="E25" s="8"/>
      <c r="F25" s="8"/>
      <c r="G25" s="8"/>
      <c r="H25" s="8"/>
      <c r="J25" s="173"/>
      <c r="K25" s="174"/>
    </row>
    <row r="26" spans="1:11" ht="15">
      <c r="A26" s="4"/>
      <c r="B26" s="199"/>
      <c r="C26" s="6"/>
      <c r="D26" s="7"/>
      <c r="E26" s="8"/>
      <c r="F26" s="8"/>
      <c r="G26" s="8"/>
      <c r="H26" s="8"/>
      <c r="J26" s="173"/>
      <c r="K26" s="174"/>
    </row>
    <row r="27" spans="1:11" ht="15">
      <c r="A27" s="4"/>
      <c r="B27" s="199"/>
      <c r="C27" s="6"/>
      <c r="D27" s="7"/>
      <c r="E27" s="8"/>
      <c r="F27" s="8"/>
      <c r="G27" s="8"/>
      <c r="H27" s="8"/>
      <c r="J27" s="173"/>
      <c r="K27" s="174"/>
    </row>
    <row r="28" spans="1:11" ht="15">
      <c r="A28" s="4"/>
      <c r="B28" s="199"/>
      <c r="C28" s="6"/>
      <c r="D28" s="7"/>
      <c r="E28" s="8"/>
      <c r="F28" s="8"/>
      <c r="G28" s="8"/>
      <c r="H28" s="8"/>
      <c r="J28" s="173"/>
      <c r="K28" s="174"/>
    </row>
    <row r="29" spans="1:11" ht="15">
      <c r="A29" s="4"/>
      <c r="B29" s="199"/>
      <c r="C29" s="6"/>
      <c r="D29" s="7"/>
      <c r="E29" s="8"/>
      <c r="F29" s="8"/>
      <c r="G29" s="8"/>
      <c r="H29" s="8"/>
      <c r="J29" s="173"/>
      <c r="K29" s="174"/>
    </row>
    <row r="30" spans="1:11" ht="15">
      <c r="A30" s="4"/>
      <c r="B30" s="199"/>
      <c r="C30" s="6"/>
      <c r="D30" s="7"/>
      <c r="E30" s="8"/>
      <c r="F30" s="8"/>
      <c r="G30" s="8"/>
      <c r="H30" s="8"/>
      <c r="J30" s="175"/>
      <c r="K30" s="176"/>
    </row>
    <row r="31" spans="1:8" ht="15">
      <c r="A31" s="2"/>
      <c r="B31" s="3"/>
      <c r="C31" s="3"/>
      <c r="D31" s="9"/>
      <c r="E31" s="10"/>
      <c r="F31" s="10"/>
      <c r="G31" s="10"/>
      <c r="H31" s="26"/>
    </row>
    <row r="32" spans="1:11" s="28" customFormat="1" ht="65.25" customHeight="1">
      <c r="A32" s="160" t="s">
        <v>17</v>
      </c>
      <c r="B32" s="161"/>
      <c r="C32" s="75" t="s">
        <v>168</v>
      </c>
      <c r="D32" s="27" t="s">
        <v>156</v>
      </c>
      <c r="E32" s="79"/>
      <c r="J32" s="177" t="s">
        <v>88</v>
      </c>
      <c r="K32" s="177"/>
    </row>
    <row r="33" spans="1:12" ht="15">
      <c r="A33" s="164" t="str">
        <f>IF(A3&lt;&gt;"","For every 1 "&amp;INDEX('work area'!$U$2:$Y$2,'work area'!Z3)&amp;" of "&amp;A3&amp;" your yield is...","")</f>
        <v>For every 1 kg of flour your yield is...</v>
      </c>
      <c r="B33" s="165"/>
      <c r="C33" s="76">
        <v>1</v>
      </c>
      <c r="D33" s="30">
        <f>+'work area'!AD3</f>
        <v>20</v>
      </c>
      <c r="E33" s="32" t="str">
        <f>+IF(D33&gt;0,IF(H3="x","each",'work area'!$N$8),"")</f>
        <v>Kg</v>
      </c>
      <c r="F33" s="28"/>
      <c r="G33" s="28"/>
      <c r="H33" s="28"/>
      <c r="I33" s="28"/>
      <c r="J33" s="28"/>
      <c r="K33" s="28"/>
      <c r="L33" s="28"/>
    </row>
    <row r="34" spans="1:12" ht="15">
      <c r="A34" s="164" t="str">
        <f>IF(A4&lt;&gt;"","For every 1 "&amp;INDEX('work area'!$U$2:$Y$2,'work area'!Z4)&amp;" of "&amp;A4&amp;" your yield is...","")</f>
        <v>For every 1 lb of sugar your yield is...</v>
      </c>
      <c r="B34" s="165"/>
      <c r="C34" s="76">
        <v>1</v>
      </c>
      <c r="D34" s="30">
        <f>+'work area'!AD4</f>
        <v>18.14371637742559</v>
      </c>
      <c r="E34" s="32" t="str">
        <f>+IF(D34&gt;0,IF(H4="x","each",'work area'!$N$8),"")</f>
        <v>Kg</v>
      </c>
      <c r="F34" s="28"/>
      <c r="G34" s="28"/>
      <c r="H34" s="28"/>
      <c r="I34" s="28"/>
      <c r="J34" s="28"/>
      <c r="K34" s="28"/>
      <c r="L34" s="28"/>
    </row>
    <row r="35" spans="1:12" ht="15">
      <c r="A35" s="164" t="str">
        <f>IF(A5&lt;&gt;"","For every 1 "&amp;INDEX('work area'!$U$2:$Y$2,'work area'!Z5)&amp;" of "&amp;A5&amp;" your yield is...","")</f>
        <v>For every 1 lb of shortening your yield is...</v>
      </c>
      <c r="B35" s="165"/>
      <c r="C35" s="76">
        <v>1</v>
      </c>
      <c r="D35" s="30">
        <f>+'work area'!AD5</f>
        <v>8.164672369841515</v>
      </c>
      <c r="E35" s="32" t="str">
        <f>+IF(D35&gt;0,IF(H5="x","each",'work area'!$N$8),"")</f>
        <v>Kg</v>
      </c>
      <c r="F35" s="28"/>
      <c r="G35" s="28"/>
      <c r="H35" s="28"/>
      <c r="I35" s="28"/>
      <c r="J35" s="28"/>
      <c r="K35" s="28"/>
      <c r="L35" s="28"/>
    </row>
    <row r="36" spans="1:12" ht="15">
      <c r="A36" s="164" t="str">
        <f>IF(A6&lt;&gt;"","For every 1 "&amp;INDEX('work area'!$U$2:$Y$2,'work area'!Z6)&amp;" of "&amp;A6&amp;" your yield is...","")</f>
        <v>For every 1 kg of salt your yield is...</v>
      </c>
      <c r="B36" s="165"/>
      <c r="C36" s="76">
        <v>1</v>
      </c>
      <c r="D36" s="30">
        <f>+'work area'!AD6</f>
        <v>10</v>
      </c>
      <c r="E36" s="32" t="str">
        <f>+IF(D36&gt;0,IF(H6="x","each",'work area'!$N$8),"")</f>
        <v>Kg</v>
      </c>
      <c r="F36" s="28"/>
      <c r="G36" s="28"/>
      <c r="H36" s="28"/>
      <c r="I36" s="28"/>
      <c r="J36" s="28"/>
      <c r="K36" s="28"/>
      <c r="L36" s="28"/>
    </row>
    <row r="37" spans="1:12" ht="15">
      <c r="A37" s="164" t="str">
        <f>IF(A7&lt;&gt;"","For every 1 "&amp;INDEX('work area'!$U$2:$Y$2,'work area'!Z7)&amp;" of "&amp;A7&amp;" your yield is...","")</f>
        <v>For every 1 litre of lemon juice your yield is...</v>
      </c>
      <c r="B37" s="165"/>
      <c r="C37" s="76">
        <v>1</v>
      </c>
      <c r="D37" s="30">
        <f>+'work area'!AD7</f>
        <v>4</v>
      </c>
      <c r="E37" s="32" t="str">
        <f>+IF(D37&gt;0,IF(H7="x","each",'work area'!$N$8),"")</f>
        <v>Kg</v>
      </c>
      <c r="F37" s="28"/>
      <c r="G37" s="28"/>
      <c r="H37" s="28"/>
      <c r="I37" s="28"/>
      <c r="J37" s="28"/>
      <c r="K37" s="28"/>
      <c r="L37" s="28"/>
    </row>
    <row r="38" spans="1:12" ht="15">
      <c r="A38" s="164" t="str">
        <f>IF(A8&lt;&gt;"","For every 1 "&amp;INDEX('work area'!$U$2:$Y$2,'work area'!Z8)&amp;" of "&amp;A8&amp;" your yield is...","")</f>
        <v>For every 1 kg of cinnamon your yield is...</v>
      </c>
      <c r="B38" s="165"/>
      <c r="C38" s="76">
        <v>1</v>
      </c>
      <c r="D38" s="30">
        <f>+'work area'!AD8</f>
        <v>2.5</v>
      </c>
      <c r="E38" s="32" t="str">
        <f>+IF(D38&gt;0,IF(H8="x","each",'work area'!$N$8),"")</f>
        <v>Kg</v>
      </c>
      <c r="F38" s="28"/>
      <c r="G38" s="28"/>
      <c r="H38" s="28"/>
      <c r="I38" s="28"/>
      <c r="J38" s="28"/>
      <c r="K38" s="28"/>
      <c r="L38" s="28"/>
    </row>
    <row r="39" spans="1:12" ht="15">
      <c r="A39" s="164" t="str">
        <f>IF(A9&lt;&gt;"","For every 1 "&amp;INDEX('work area'!$U$2:$Y$2,'work area'!Z9)&amp;" of "&amp;A9&amp;" your yield is...","")</f>
        <v>For every 1 gallon of apples your yield is...</v>
      </c>
      <c r="B39" s="165"/>
      <c r="C39" s="76">
        <v>0.9</v>
      </c>
      <c r="D39" s="30">
        <f>+'work area'!AD9</f>
        <v>3.40686</v>
      </c>
      <c r="E39" s="32" t="str">
        <f>+IF(D39&gt;0,IF(H9="x","each",'work area'!$N$8),"")</f>
        <v>Kg</v>
      </c>
      <c r="F39" s="28"/>
      <c r="G39" s="28"/>
      <c r="H39" s="28"/>
      <c r="I39" s="28"/>
      <c r="J39" s="28"/>
      <c r="K39" s="28"/>
      <c r="L39" s="28"/>
    </row>
    <row r="40" spans="1:12" ht="15">
      <c r="A40" s="164" t="str">
        <f>IF(A10&lt;&gt;"","For every 1 "&amp;INDEX('work area'!$U$2:$Y$2,'work area'!Z10)&amp;" of "&amp;A10&amp;" your yield is...","")</f>
        <v>For every 1 each of cinnamon candy your yield is...</v>
      </c>
      <c r="B40" s="165"/>
      <c r="C40" s="76">
        <v>1</v>
      </c>
      <c r="D40" s="30">
        <f>+'work area'!AD10</f>
        <v>500</v>
      </c>
      <c r="E40" s="32" t="str">
        <f>+IF(D40&gt;0,IF(H10="x","each",'work area'!$N$8),"")</f>
        <v>each</v>
      </c>
      <c r="F40" s="28"/>
      <c r="G40" s="28"/>
      <c r="H40" s="28"/>
      <c r="I40" s="28"/>
      <c r="J40" s="28"/>
      <c r="K40" s="28"/>
      <c r="L40" s="28"/>
    </row>
    <row r="41" spans="1:12" ht="15">
      <c r="A41" s="164">
        <f>IF(A11&lt;&gt;"","For every 1 "&amp;INDEX('work area'!$U$2:$Y$2,'work area'!Z11)&amp;" of "&amp;A11&amp;" your yield is...","")</f>
      </c>
      <c r="B41" s="165"/>
      <c r="C41" s="76"/>
      <c r="D41" s="30">
        <f>+'work area'!AD11</f>
        <v>0</v>
      </c>
      <c r="E41" s="32">
        <f>+IF(D41&gt;0,IF(H11="x","each",'work area'!$N$8),"")</f>
      </c>
      <c r="F41" s="28"/>
      <c r="G41" s="28"/>
      <c r="H41" s="28"/>
      <c r="I41" s="28"/>
      <c r="J41" s="28"/>
      <c r="K41" s="28"/>
      <c r="L41" s="28"/>
    </row>
    <row r="42" spans="1:12" ht="15">
      <c r="A42" s="164">
        <f>IF(A12&lt;&gt;"","For every 1 "&amp;INDEX('work area'!$U$2:$Y$2,'work area'!Z12)&amp;" of "&amp;A12&amp;" your yield is...","")</f>
      </c>
      <c r="B42" s="165"/>
      <c r="C42" s="76"/>
      <c r="D42" s="30">
        <f>+'work area'!AD12</f>
        <v>0</v>
      </c>
      <c r="E42" s="32">
        <f>+IF(D42&gt;0,IF(H12="x","each",'work area'!$N$8),"")</f>
      </c>
      <c r="F42" s="28"/>
      <c r="G42" s="28"/>
      <c r="H42" s="28"/>
      <c r="I42" s="28"/>
      <c r="J42" s="28"/>
      <c r="K42" s="28"/>
      <c r="L42" s="28"/>
    </row>
    <row r="43" spans="1:12" ht="15">
      <c r="A43" s="164">
        <f>IF(A13&lt;&gt;"","For every 1 "&amp;INDEX('work area'!$U$2:$Y$2,'work area'!Z13)&amp;" of "&amp;A13&amp;" your yield is...","")</f>
      </c>
      <c r="B43" s="165"/>
      <c r="C43" s="76"/>
      <c r="D43" s="30">
        <f>+'work area'!AD13</f>
        <v>0</v>
      </c>
      <c r="E43" s="32">
        <f>+IF(D43&gt;0,IF(H13="x","each",'work area'!$N$8),"")</f>
      </c>
      <c r="F43" s="28"/>
      <c r="G43" s="28"/>
      <c r="H43" s="28"/>
      <c r="I43" s="28"/>
      <c r="J43" s="28"/>
      <c r="K43" s="28"/>
      <c r="L43" s="28"/>
    </row>
    <row r="44" spans="1:12" ht="15">
      <c r="A44" s="164">
        <f>IF(A14&lt;&gt;"","For every 1 "&amp;INDEX('work area'!$U$2:$Y$2,'work area'!Z14)&amp;" of "&amp;A14&amp;" your yield is...","")</f>
      </c>
      <c r="B44" s="165"/>
      <c r="C44" s="76"/>
      <c r="D44" s="30">
        <f>+'work area'!AD14</f>
        <v>0</v>
      </c>
      <c r="E44" s="32">
        <f>+IF(D44&gt;0,IF(H14="x","each",'work area'!$N$8),"")</f>
      </c>
      <c r="F44" s="28"/>
      <c r="G44" s="28"/>
      <c r="H44" s="28"/>
      <c r="I44" s="28"/>
      <c r="J44" s="28"/>
      <c r="K44" s="28"/>
      <c r="L44" s="28"/>
    </row>
    <row r="45" spans="1:12" ht="15">
      <c r="A45" s="164">
        <f>IF(A15&lt;&gt;"","For every 1 "&amp;INDEX('work area'!$U$2:$Y$2,'work area'!Z15)&amp;" of "&amp;A15&amp;" your yield is...","")</f>
      </c>
      <c r="B45" s="165"/>
      <c r="C45" s="76"/>
      <c r="D45" s="30">
        <f>+'work area'!AD15</f>
        <v>0</v>
      </c>
      <c r="E45" s="32">
        <f>+IF(D45&gt;0,IF(H15="x","each",'work area'!$N$8),"")</f>
      </c>
      <c r="F45" s="28"/>
      <c r="G45" s="28"/>
      <c r="H45" s="28"/>
      <c r="I45" s="28"/>
      <c r="J45" s="28"/>
      <c r="K45" s="28"/>
      <c r="L45" s="28"/>
    </row>
    <row r="46" spans="1:12" ht="15">
      <c r="A46" s="164">
        <f>IF(A16&lt;&gt;"","For every 1 "&amp;INDEX('work area'!$U$2:$Y$2,'work area'!Z16)&amp;" of "&amp;A16&amp;" your yield is...","")</f>
      </c>
      <c r="B46" s="165"/>
      <c r="C46" s="76"/>
      <c r="D46" s="30">
        <f>+'work area'!AD16</f>
        <v>0</v>
      </c>
      <c r="E46" s="32">
        <f>+IF(D46&gt;0,IF(H16="x","each",'work area'!$N$8),"")</f>
      </c>
      <c r="F46" s="28"/>
      <c r="G46" s="28"/>
      <c r="H46" s="28"/>
      <c r="I46" s="28"/>
      <c r="J46" s="28"/>
      <c r="K46" s="28"/>
      <c r="L46" s="28"/>
    </row>
    <row r="47" spans="1:12" ht="15">
      <c r="A47" s="164">
        <f>IF(A17&lt;&gt;"","For every 1 "&amp;INDEX('work area'!$U$2:$Y$2,'work area'!Z17)&amp;" of "&amp;A17&amp;" your yield is...","")</f>
      </c>
      <c r="B47" s="165"/>
      <c r="C47" s="76"/>
      <c r="D47" s="30">
        <f>+'work area'!AD17</f>
        <v>0</v>
      </c>
      <c r="E47" s="32">
        <f>+IF(D47&gt;0,IF(H17="x","each",'work area'!$N$8),"")</f>
      </c>
      <c r="F47" s="28"/>
      <c r="G47" s="28"/>
      <c r="H47" s="28"/>
      <c r="I47" s="28"/>
      <c r="J47" s="28"/>
      <c r="K47" s="28"/>
      <c r="L47" s="28"/>
    </row>
    <row r="48" spans="1:12" ht="15">
      <c r="A48" s="164">
        <f>IF(A18&lt;&gt;"","For every 1 "&amp;INDEX('work area'!$U$2:$Y$2,'work area'!Z18)&amp;" of "&amp;A18&amp;" your yield is...","")</f>
      </c>
      <c r="B48" s="165"/>
      <c r="C48" s="76"/>
      <c r="D48" s="30">
        <f>+'work area'!AD18</f>
        <v>0</v>
      </c>
      <c r="E48" s="138">
        <f>+IF(D48&gt;0,IF(H18="x","each",'work area'!$N$8),"")</f>
      </c>
      <c r="F48" s="28"/>
      <c r="G48" s="28"/>
      <c r="H48" s="28"/>
      <c r="I48" s="28"/>
      <c r="J48" s="28"/>
      <c r="K48" s="28"/>
      <c r="L48" s="28"/>
    </row>
    <row r="49" spans="1:12" ht="15">
      <c r="A49" s="164">
        <f>IF(A19&lt;&gt;"","For every 1 "&amp;INDEX('work area'!$U$2:$Y$2,'work area'!Z19)&amp;" of "&amp;A19&amp;" your yield is...","")</f>
      </c>
      <c r="B49" s="165"/>
      <c r="C49" s="76"/>
      <c r="D49" s="30">
        <f>+'work area'!AD19</f>
        <v>0</v>
      </c>
      <c r="E49" s="138">
        <f>+IF(D49&gt;0,IF(H19="x","each",'work area'!$N$8),"")</f>
      </c>
      <c r="F49" s="28"/>
      <c r="G49" s="28"/>
      <c r="H49" s="28"/>
      <c r="I49" s="28"/>
      <c r="J49" s="28"/>
      <c r="K49" s="28"/>
      <c r="L49" s="28"/>
    </row>
    <row r="50" spans="1:12" ht="15">
      <c r="A50" s="164">
        <f>IF(A20&lt;&gt;"","For every 1 "&amp;INDEX('work area'!$U$2:$Y$2,'work area'!Z20)&amp;" of "&amp;A20&amp;" your yield is...","")</f>
      </c>
      <c r="B50" s="165"/>
      <c r="C50" s="76"/>
      <c r="D50" s="30">
        <f>+'work area'!AD20</f>
        <v>0</v>
      </c>
      <c r="E50" s="138">
        <f>+IF(D50&gt;0,IF(H20="x","each",'work area'!$N$8),"")</f>
      </c>
      <c r="F50" s="28"/>
      <c r="G50" s="28"/>
      <c r="H50" s="28"/>
      <c r="I50" s="28"/>
      <c r="J50" s="28"/>
      <c r="K50" s="28"/>
      <c r="L50" s="28"/>
    </row>
    <row r="51" spans="1:12" ht="15">
      <c r="A51" s="164">
        <f>IF(A21&lt;&gt;"","For every 1 "&amp;INDEX('work area'!$U$2:$Y$2,'work area'!Z21)&amp;" of "&amp;A21&amp;" your yield is...","")</f>
      </c>
      <c r="B51" s="165"/>
      <c r="C51" s="76"/>
      <c r="D51" s="30">
        <f>+'work area'!AD21</f>
        <v>0</v>
      </c>
      <c r="E51" s="138">
        <f>+IF(D51&gt;0,IF(H21="x","each",'work area'!$N$8),"")</f>
      </c>
      <c r="F51" s="28"/>
      <c r="G51" s="28"/>
      <c r="H51" s="28"/>
      <c r="I51" s="28"/>
      <c r="J51" s="28"/>
      <c r="K51" s="28"/>
      <c r="L51" s="28"/>
    </row>
    <row r="52" spans="1:12" ht="15">
      <c r="A52" s="164">
        <f>IF(A22&lt;&gt;"","For every 1 "&amp;INDEX('work area'!$U$2:$Y$2,'work area'!Z22)&amp;" of "&amp;A22&amp;" your yield is...","")</f>
      </c>
      <c r="B52" s="165"/>
      <c r="C52" s="76"/>
      <c r="D52" s="30">
        <f>+'work area'!AD22</f>
        <v>0</v>
      </c>
      <c r="E52" s="138">
        <f>+IF(D52&gt;0,IF(H22="x","each",'work area'!$N$8),"")</f>
      </c>
      <c r="F52" s="28"/>
      <c r="G52" s="28"/>
      <c r="H52" s="28"/>
      <c r="I52" s="28"/>
      <c r="J52" s="28"/>
      <c r="K52" s="28"/>
      <c r="L52" s="28"/>
    </row>
    <row r="53" spans="1:12" ht="15">
      <c r="A53" s="164">
        <f>IF(A23&lt;&gt;"","For every 1 "&amp;INDEX('work area'!$U$2:$Y$2,'work area'!Z23)&amp;" of "&amp;A23&amp;" your yield is...","")</f>
      </c>
      <c r="B53" s="165"/>
      <c r="C53" s="76"/>
      <c r="D53" s="30">
        <f>+'work area'!AD23</f>
        <v>0</v>
      </c>
      <c r="E53" s="138">
        <f>+IF(D53&gt;0,IF(H23="x","each",'work area'!$N$8),"")</f>
      </c>
      <c r="F53" s="28"/>
      <c r="G53" s="28"/>
      <c r="H53" s="28"/>
      <c r="I53" s="28"/>
      <c r="J53" s="28"/>
      <c r="K53" s="28"/>
      <c r="L53" s="28"/>
    </row>
    <row r="54" spans="1:12" ht="15">
      <c r="A54" s="164">
        <f>IF(A24&lt;&gt;"","For every 1 "&amp;INDEX('work area'!$U$2:$Y$2,'work area'!Z24)&amp;" of "&amp;A24&amp;" your yield is...","")</f>
      </c>
      <c r="B54" s="165"/>
      <c r="C54" s="76"/>
      <c r="D54" s="30">
        <f>+'work area'!AD24</f>
        <v>0</v>
      </c>
      <c r="E54" s="138">
        <f>+IF(D54&gt;0,IF(H24="x","each",'work area'!$N$8),"")</f>
      </c>
      <c r="F54" s="28"/>
      <c r="G54" s="28"/>
      <c r="H54" s="28"/>
      <c r="I54" s="28"/>
      <c r="J54" s="28"/>
      <c r="K54" s="28"/>
      <c r="L54" s="28"/>
    </row>
    <row r="55" spans="1:12" ht="15">
      <c r="A55" s="164">
        <f>IF(A25&lt;&gt;"","For every 1 "&amp;INDEX('work area'!$U$2:$Y$2,'work area'!Z25)&amp;" of "&amp;A25&amp;" your yield is...","")</f>
      </c>
      <c r="B55" s="165"/>
      <c r="C55" s="76"/>
      <c r="D55" s="30">
        <f>+'work area'!AD25</f>
        <v>0</v>
      </c>
      <c r="E55" s="138">
        <f>+IF(D55&gt;0,IF(H25="x","each",'work area'!$N$8),"")</f>
      </c>
      <c r="F55" s="28"/>
      <c r="G55" s="28"/>
      <c r="H55" s="28"/>
      <c r="I55" s="28"/>
      <c r="J55" s="28"/>
      <c r="K55" s="28"/>
      <c r="L55" s="28"/>
    </row>
    <row r="56" spans="1:12" ht="15">
      <c r="A56" s="164">
        <f>IF(A26&lt;&gt;"","For every 1 "&amp;INDEX('work area'!$U$2:$Y$2,'work area'!Z26)&amp;" of "&amp;A26&amp;" your yield is...","")</f>
      </c>
      <c r="B56" s="165"/>
      <c r="C56" s="76"/>
      <c r="D56" s="30">
        <f>+'work area'!AD26</f>
        <v>0</v>
      </c>
      <c r="E56" s="138">
        <f>+IF(D56&gt;0,IF(H26="x","each",'work area'!$N$8),"")</f>
      </c>
      <c r="F56" s="28"/>
      <c r="G56" s="28"/>
      <c r="H56" s="28"/>
      <c r="I56" s="28"/>
      <c r="J56" s="28"/>
      <c r="K56" s="28"/>
      <c r="L56" s="28"/>
    </row>
    <row r="57" spans="1:12" ht="15">
      <c r="A57" s="164">
        <f>IF(A27&lt;&gt;"","For every 1 "&amp;INDEX('work area'!$U$2:$Y$2,'work area'!Z27)&amp;" of "&amp;A27&amp;" your yield is...","")</f>
      </c>
      <c r="B57" s="165"/>
      <c r="C57" s="76"/>
      <c r="D57" s="30">
        <f>+'work area'!AD27</f>
        <v>0</v>
      </c>
      <c r="E57" s="138">
        <f>+IF(D57&gt;0,IF(H27="x","each",'work area'!$N$8),"")</f>
      </c>
      <c r="F57" s="28"/>
      <c r="G57" s="28"/>
      <c r="H57" s="28"/>
      <c r="I57" s="28"/>
      <c r="J57" s="28"/>
      <c r="K57" s="28"/>
      <c r="L57" s="28"/>
    </row>
    <row r="58" spans="1:12" ht="15">
      <c r="A58" s="164">
        <f>IF(A28&lt;&gt;"","For every 1 "&amp;INDEX('work area'!$U$2:$Y$2,'work area'!Z18)&amp;" of "&amp;A28&amp;" your yield is...","")</f>
      </c>
      <c r="B58" s="165"/>
      <c r="C58" s="76"/>
      <c r="D58" s="30">
        <f>+'work area'!AD28</f>
        <v>0</v>
      </c>
      <c r="E58" s="138">
        <f>+IF(D58&gt;0,IF(H28="x","each",'work area'!$N$8),"")</f>
      </c>
      <c r="F58" s="28"/>
      <c r="G58" s="28"/>
      <c r="H58" s="28"/>
      <c r="I58" s="28"/>
      <c r="J58" s="28"/>
      <c r="K58" s="28"/>
      <c r="L58" s="28"/>
    </row>
    <row r="59" spans="1:12" ht="15">
      <c r="A59" s="164">
        <f>IF(A29&lt;&gt;"","For every 1 "&amp;INDEX('work area'!$U$2:$Y$2,'work area'!Z19)&amp;" of "&amp;A29&amp;" your yield is...","")</f>
      </c>
      <c r="B59" s="165"/>
      <c r="C59" s="76"/>
      <c r="D59" s="30">
        <f>+'work area'!AD29</f>
        <v>0</v>
      </c>
      <c r="E59" s="138">
        <f>+IF(D59&gt;0,IF(H29="x","each",'work area'!$N$8),"")</f>
      </c>
      <c r="F59" s="28"/>
      <c r="G59" s="28"/>
      <c r="H59" s="28"/>
      <c r="I59" s="28"/>
      <c r="J59" s="28"/>
      <c r="K59" s="28"/>
      <c r="L59" s="28"/>
    </row>
    <row r="60" spans="1:12" ht="15">
      <c r="A60" s="164">
        <f>IF(A30&lt;&gt;"","For every 1 "&amp;INDEX('work area'!$U$2:$Y$2,'work area'!Z20)&amp;" of "&amp;A30&amp;" your yield is...","")</f>
      </c>
      <c r="B60" s="165"/>
      <c r="C60" s="76"/>
      <c r="D60" s="30">
        <f>+'work area'!AD30</f>
        <v>0</v>
      </c>
      <c r="E60" s="138">
        <f>+IF(D60&gt;0,IF(H30="x","each",'work area'!$N$8),"")</f>
      </c>
      <c r="F60" s="28"/>
      <c r="G60" s="28"/>
      <c r="H60" s="28"/>
      <c r="I60" s="28"/>
      <c r="J60" s="28"/>
      <c r="K60" s="28"/>
      <c r="L60" s="28"/>
    </row>
    <row r="61" spans="1:8" ht="15">
      <c r="A61" s="23"/>
      <c r="B61" s="24"/>
      <c r="C61" s="24"/>
      <c r="D61" s="25"/>
      <c r="E61" s="26"/>
      <c r="F61" s="26"/>
      <c r="G61" s="26"/>
      <c r="H61" s="26"/>
    </row>
    <row r="62" spans="1:14" s="12" customFormat="1" ht="44.25" customHeight="1">
      <c r="A62" s="82" t="s">
        <v>174</v>
      </c>
      <c r="B62" s="98" t="s">
        <v>131</v>
      </c>
      <c r="C62" s="83" t="s">
        <v>103</v>
      </c>
      <c r="D62" s="96" t="s">
        <v>175</v>
      </c>
      <c r="E62" s="152" t="s">
        <v>157</v>
      </c>
      <c r="G62" s="28"/>
      <c r="H62" s="28"/>
      <c r="I62" s="28"/>
      <c r="J62"/>
      <c r="K62"/>
      <c r="L62"/>
      <c r="M62"/>
      <c r="N62"/>
    </row>
    <row r="63" spans="1:14" s="12" customFormat="1" ht="15">
      <c r="A63" s="20" t="str">
        <f aca="true" t="shared" si="0" ref="A63:A69">IF(A3&lt;&gt;"",A3,"")</f>
        <v>flour</v>
      </c>
      <c r="B63" s="97"/>
      <c r="C63" s="99">
        <v>210</v>
      </c>
      <c r="D63" s="200">
        <f>+'work area'!H3</f>
        <v>100.22727272727272</v>
      </c>
      <c r="E63" s="153">
        <f>+D63/$D$92</f>
        <v>0.14993648752753502</v>
      </c>
      <c r="I63"/>
      <c r="J63"/>
      <c r="K63"/>
      <c r="L63"/>
      <c r="M63"/>
      <c r="N63"/>
    </row>
    <row r="64" spans="1:14" s="12" customFormat="1" ht="15">
      <c r="A64" s="20" t="str">
        <f t="shared" si="0"/>
        <v>sugar</v>
      </c>
      <c r="B64" s="97"/>
      <c r="C64" s="100">
        <v>105</v>
      </c>
      <c r="D64" s="200">
        <f>+'work area'!H4</f>
        <v>57.871275</v>
      </c>
      <c r="E64" s="153">
        <f aca="true" t="shared" si="1" ref="E64:E90">+D64/$D$92</f>
        <v>0.08657339929672611</v>
      </c>
      <c r="I64"/>
      <c r="J64"/>
      <c r="K64"/>
      <c r="L64"/>
      <c r="M64"/>
      <c r="N64"/>
    </row>
    <row r="65" spans="1:14" s="12" customFormat="1" ht="15">
      <c r="A65" s="20" t="str">
        <f t="shared" si="0"/>
        <v>shortening</v>
      </c>
      <c r="B65" s="97"/>
      <c r="C65" s="100">
        <v>45</v>
      </c>
      <c r="D65" s="200">
        <f>+'work area'!H5</f>
        <v>145.3045</v>
      </c>
      <c r="E65" s="153">
        <f t="shared" si="1"/>
        <v>0.21737043979264567</v>
      </c>
      <c r="I65"/>
      <c r="J65"/>
      <c r="K65"/>
      <c r="L65"/>
      <c r="M65"/>
      <c r="N65"/>
    </row>
    <row r="66" spans="1:14" s="12" customFormat="1" ht="15">
      <c r="A66" s="20" t="str">
        <f t="shared" si="0"/>
        <v>salt</v>
      </c>
      <c r="B66" s="97"/>
      <c r="C66" s="100">
        <v>2.1</v>
      </c>
      <c r="D66" s="201">
        <f>+'work area'!H6</f>
        <v>1.26</v>
      </c>
      <c r="E66" s="153">
        <f t="shared" si="1"/>
        <v>0.0018849158432032976</v>
      </c>
      <c r="I66"/>
      <c r="J66"/>
      <c r="K66"/>
      <c r="L66"/>
      <c r="M66"/>
      <c r="N66"/>
    </row>
    <row r="67" spans="1:14" s="12" customFormat="1" ht="15">
      <c r="A67" s="151" t="str">
        <f t="shared" si="0"/>
        <v>lemon juice</v>
      </c>
      <c r="B67" s="97"/>
      <c r="C67" s="100">
        <v>2.2</v>
      </c>
      <c r="D67" s="201">
        <f>+'work area'!H7</f>
        <v>10.450000000000001</v>
      </c>
      <c r="E67" s="153">
        <f t="shared" si="1"/>
        <v>0.015632833778947985</v>
      </c>
      <c r="I67"/>
      <c r="J67"/>
      <c r="K67"/>
      <c r="L67"/>
      <c r="M67"/>
      <c r="N67"/>
    </row>
    <row r="68" spans="1:14" s="12" customFormat="1" ht="15">
      <c r="A68" s="20" t="str">
        <f t="shared" si="0"/>
        <v>cinnamon</v>
      </c>
      <c r="B68" s="97"/>
      <c r="C68" s="100">
        <v>1.5</v>
      </c>
      <c r="D68" s="201">
        <f>+'work area'!H8</f>
        <v>2.1818181818181817</v>
      </c>
      <c r="E68" s="153">
        <f t="shared" si="1"/>
        <v>0.0032639235380143676</v>
      </c>
      <c r="I68"/>
      <c r="J68"/>
      <c r="K68"/>
      <c r="L68"/>
      <c r="M68"/>
      <c r="N68"/>
    </row>
    <row r="69" spans="1:14" s="12" customFormat="1" ht="15">
      <c r="A69" s="20" t="str">
        <f t="shared" si="0"/>
        <v>apples</v>
      </c>
      <c r="B69" s="97"/>
      <c r="C69" s="100">
        <v>59</v>
      </c>
      <c r="D69" s="201">
        <f>+'work area'!H9</f>
        <v>346.35999131164766</v>
      </c>
      <c r="E69" s="153">
        <f t="shared" si="1"/>
        <v>0.5181424087897469</v>
      </c>
      <c r="I69"/>
      <c r="J69"/>
      <c r="K69"/>
      <c r="L69"/>
      <c r="M69"/>
      <c r="N69"/>
    </row>
    <row r="70" spans="1:14" s="12" customFormat="1" ht="15">
      <c r="A70" s="20" t="str">
        <f>IF(A10&lt;&gt;"",A10,"")</f>
        <v>cinnamon candy</v>
      </c>
      <c r="B70" s="97"/>
      <c r="C70" s="100">
        <v>185</v>
      </c>
      <c r="D70" s="200">
        <f>+'work area'!H10</f>
        <v>4.81</v>
      </c>
      <c r="E70" s="153">
        <f t="shared" si="1"/>
        <v>0.007195591433180841</v>
      </c>
      <c r="I70"/>
      <c r="J70"/>
      <c r="K70"/>
      <c r="L70"/>
      <c r="M70"/>
      <c r="N70"/>
    </row>
    <row r="71" spans="1:14" s="12" customFormat="1" ht="15">
      <c r="A71" s="20">
        <f>IF(A11&lt;&gt;"",A11,"")</f>
      </c>
      <c r="B71" s="97"/>
      <c r="C71" s="81"/>
      <c r="D71" s="200">
        <f>+'work area'!H11</f>
        <v>0</v>
      </c>
      <c r="E71" s="153">
        <f t="shared" si="1"/>
        <v>0</v>
      </c>
      <c r="I71"/>
      <c r="J71"/>
      <c r="K71"/>
      <c r="L71"/>
      <c r="M71"/>
      <c r="N71"/>
    </row>
    <row r="72" spans="1:14" s="12" customFormat="1" ht="15">
      <c r="A72" s="20">
        <f aca="true" t="shared" si="2" ref="A72:A77">IF(A12&lt;&gt;"",A12,"")</f>
      </c>
      <c r="B72" s="97"/>
      <c r="C72" s="81"/>
      <c r="D72" s="200">
        <f>+'work area'!H12</f>
        <v>0</v>
      </c>
      <c r="E72" s="153">
        <f t="shared" si="1"/>
        <v>0</v>
      </c>
      <c r="I72"/>
      <c r="J72"/>
      <c r="K72"/>
      <c r="L72"/>
      <c r="M72"/>
      <c r="N72"/>
    </row>
    <row r="73" spans="1:14" s="12" customFormat="1" ht="15">
      <c r="A73" s="20">
        <f t="shared" si="2"/>
      </c>
      <c r="B73" s="97"/>
      <c r="C73" s="81"/>
      <c r="D73" s="200">
        <f>+'work area'!H13</f>
        <v>0</v>
      </c>
      <c r="E73" s="153">
        <f t="shared" si="1"/>
        <v>0</v>
      </c>
      <c r="I73"/>
      <c r="J73"/>
      <c r="K73"/>
      <c r="L73"/>
      <c r="M73"/>
      <c r="N73"/>
    </row>
    <row r="74" spans="1:14" s="12" customFormat="1" ht="15">
      <c r="A74" s="20">
        <f t="shared" si="2"/>
      </c>
      <c r="B74" s="97"/>
      <c r="C74" s="81"/>
      <c r="D74" s="200">
        <f>+'work area'!H14</f>
        <v>0</v>
      </c>
      <c r="E74" s="153">
        <f t="shared" si="1"/>
        <v>0</v>
      </c>
      <c r="I74"/>
      <c r="J74"/>
      <c r="K74"/>
      <c r="L74"/>
      <c r="M74"/>
      <c r="N74"/>
    </row>
    <row r="75" spans="1:14" s="12" customFormat="1" ht="15">
      <c r="A75" s="20">
        <f t="shared" si="2"/>
      </c>
      <c r="B75" s="97"/>
      <c r="C75" s="81"/>
      <c r="D75" s="200">
        <f>+'work area'!H15</f>
        <v>0</v>
      </c>
      <c r="E75" s="153">
        <f t="shared" si="1"/>
        <v>0</v>
      </c>
      <c r="I75"/>
      <c r="J75"/>
      <c r="K75"/>
      <c r="L75"/>
      <c r="M75"/>
      <c r="N75"/>
    </row>
    <row r="76" spans="1:14" s="12" customFormat="1" ht="15">
      <c r="A76" s="20">
        <f t="shared" si="2"/>
      </c>
      <c r="B76" s="97"/>
      <c r="C76" s="81"/>
      <c r="D76" s="200">
        <f>+'work area'!H16</f>
        <v>0</v>
      </c>
      <c r="E76" s="153">
        <f t="shared" si="1"/>
        <v>0</v>
      </c>
      <c r="I76"/>
      <c r="J76"/>
      <c r="K76"/>
      <c r="L76"/>
      <c r="M76"/>
      <c r="N76"/>
    </row>
    <row r="77" spans="1:14" s="12" customFormat="1" ht="15">
      <c r="A77" s="20">
        <f t="shared" si="2"/>
      </c>
      <c r="B77" s="97"/>
      <c r="C77" s="81"/>
      <c r="D77" s="200">
        <f>+'work area'!H17</f>
        <v>0</v>
      </c>
      <c r="E77" s="153">
        <f t="shared" si="1"/>
        <v>0</v>
      </c>
      <c r="I77"/>
      <c r="J77"/>
      <c r="K77"/>
      <c r="L77"/>
      <c r="M77"/>
      <c r="N77"/>
    </row>
    <row r="78" spans="1:14" s="12" customFormat="1" ht="15">
      <c r="A78" s="20">
        <f aca="true" t="shared" si="3" ref="A78:A87">IF(A18&lt;&gt;"",A18,"")</f>
      </c>
      <c r="B78" s="97"/>
      <c r="C78" s="81"/>
      <c r="D78" s="200">
        <f>+'work area'!H18</f>
        <v>0</v>
      </c>
      <c r="E78" s="153">
        <f t="shared" si="1"/>
        <v>0</v>
      </c>
      <c r="I78"/>
      <c r="J78"/>
      <c r="K78"/>
      <c r="L78"/>
      <c r="M78"/>
      <c r="N78"/>
    </row>
    <row r="79" spans="1:14" s="12" customFormat="1" ht="15">
      <c r="A79" s="20">
        <f t="shared" si="3"/>
      </c>
      <c r="B79" s="97"/>
      <c r="C79" s="81"/>
      <c r="D79" s="200">
        <f>+'work area'!H19</f>
        <v>0</v>
      </c>
      <c r="E79" s="153">
        <f t="shared" si="1"/>
        <v>0</v>
      </c>
      <c r="I79"/>
      <c r="J79"/>
      <c r="K79"/>
      <c r="L79"/>
      <c r="M79"/>
      <c r="N79"/>
    </row>
    <row r="80" spans="1:14" s="12" customFormat="1" ht="15">
      <c r="A80" s="20">
        <f t="shared" si="3"/>
      </c>
      <c r="B80" s="97"/>
      <c r="C80" s="81"/>
      <c r="D80" s="200">
        <f>+'work area'!H20</f>
        <v>0</v>
      </c>
      <c r="E80" s="153">
        <f t="shared" si="1"/>
        <v>0</v>
      </c>
      <c r="I80"/>
      <c r="J80"/>
      <c r="K80"/>
      <c r="L80"/>
      <c r="M80"/>
      <c r="N80"/>
    </row>
    <row r="81" spans="1:14" s="12" customFormat="1" ht="15">
      <c r="A81" s="20">
        <f t="shared" si="3"/>
      </c>
      <c r="B81" s="97"/>
      <c r="C81" s="81"/>
      <c r="D81" s="200">
        <f>+'work area'!H21</f>
        <v>0</v>
      </c>
      <c r="E81" s="153">
        <f t="shared" si="1"/>
        <v>0</v>
      </c>
      <c r="I81"/>
      <c r="J81"/>
      <c r="K81"/>
      <c r="L81"/>
      <c r="M81"/>
      <c r="N81"/>
    </row>
    <row r="82" spans="1:14" s="12" customFormat="1" ht="15">
      <c r="A82" s="20">
        <f t="shared" si="3"/>
      </c>
      <c r="B82" s="97"/>
      <c r="C82" s="81"/>
      <c r="D82" s="200">
        <f>+'work area'!H22</f>
        <v>0</v>
      </c>
      <c r="E82" s="153">
        <f t="shared" si="1"/>
        <v>0</v>
      </c>
      <c r="I82"/>
      <c r="J82"/>
      <c r="K82"/>
      <c r="L82"/>
      <c r="M82"/>
      <c r="N82"/>
    </row>
    <row r="83" spans="1:14" s="12" customFormat="1" ht="15">
      <c r="A83" s="20">
        <f t="shared" si="3"/>
      </c>
      <c r="B83" s="97"/>
      <c r="C83" s="81"/>
      <c r="D83" s="200">
        <f>+'work area'!H23</f>
        <v>0</v>
      </c>
      <c r="E83" s="153">
        <f t="shared" si="1"/>
        <v>0</v>
      </c>
      <c r="I83"/>
      <c r="J83"/>
      <c r="K83"/>
      <c r="L83"/>
      <c r="M83"/>
      <c r="N83"/>
    </row>
    <row r="84" spans="1:14" s="12" customFormat="1" ht="15">
      <c r="A84" s="20">
        <f t="shared" si="3"/>
      </c>
      <c r="B84" s="97"/>
      <c r="C84" s="81"/>
      <c r="D84" s="200">
        <f>+'work area'!H24</f>
        <v>0</v>
      </c>
      <c r="E84" s="153">
        <f t="shared" si="1"/>
        <v>0</v>
      </c>
      <c r="I84"/>
      <c r="J84"/>
      <c r="K84"/>
      <c r="L84"/>
      <c r="M84"/>
      <c r="N84"/>
    </row>
    <row r="85" spans="1:14" s="12" customFormat="1" ht="15">
      <c r="A85" s="20">
        <f t="shared" si="3"/>
      </c>
      <c r="B85" s="97"/>
      <c r="C85" s="81"/>
      <c r="D85" s="200">
        <f>+'work area'!H25</f>
        <v>0</v>
      </c>
      <c r="E85" s="153">
        <f t="shared" si="1"/>
        <v>0</v>
      </c>
      <c r="I85"/>
      <c r="J85"/>
      <c r="K85"/>
      <c r="L85"/>
      <c r="M85"/>
      <c r="N85"/>
    </row>
    <row r="86" spans="1:14" s="12" customFormat="1" ht="15">
      <c r="A86" s="20">
        <f t="shared" si="3"/>
      </c>
      <c r="B86" s="97"/>
      <c r="C86" s="81"/>
      <c r="D86" s="200">
        <f>+'work area'!H26</f>
        <v>0</v>
      </c>
      <c r="E86" s="153">
        <f t="shared" si="1"/>
        <v>0</v>
      </c>
      <c r="I86"/>
      <c r="J86"/>
      <c r="K86"/>
      <c r="L86"/>
      <c r="M86"/>
      <c r="N86"/>
    </row>
    <row r="87" spans="1:14" s="12" customFormat="1" ht="15">
      <c r="A87" s="20">
        <f t="shared" si="3"/>
      </c>
      <c r="B87" s="97"/>
      <c r="C87" s="81"/>
      <c r="D87" s="200">
        <f>+'work area'!H27</f>
        <v>0</v>
      </c>
      <c r="E87" s="153">
        <f t="shared" si="1"/>
        <v>0</v>
      </c>
      <c r="I87"/>
      <c r="J87"/>
      <c r="K87"/>
      <c r="L87"/>
      <c r="M87"/>
      <c r="N87"/>
    </row>
    <row r="88" spans="1:14" s="12" customFormat="1" ht="15">
      <c r="A88" s="20">
        <f>IF(A28&lt;&gt;"",A28,"")</f>
      </c>
      <c r="B88" s="97"/>
      <c r="C88" s="81"/>
      <c r="D88" s="200">
        <f>+'work area'!H18</f>
        <v>0</v>
      </c>
      <c r="E88" s="153">
        <f t="shared" si="1"/>
        <v>0</v>
      </c>
      <c r="I88"/>
      <c r="J88"/>
      <c r="K88"/>
      <c r="L88"/>
      <c r="M88"/>
      <c r="N88"/>
    </row>
    <row r="89" spans="1:14" s="12" customFormat="1" ht="15">
      <c r="A89" s="20">
        <f>IF(A29&lt;&gt;"",A29,"")</f>
      </c>
      <c r="B89" s="97"/>
      <c r="C89" s="81"/>
      <c r="D89" s="200">
        <f>+'work area'!H19</f>
        <v>0</v>
      </c>
      <c r="E89" s="153">
        <f t="shared" si="1"/>
        <v>0</v>
      </c>
      <c r="I89"/>
      <c r="J89"/>
      <c r="K89"/>
      <c r="L89"/>
      <c r="M89"/>
      <c r="N89"/>
    </row>
    <row r="90" spans="1:14" s="12" customFormat="1" ht="15">
      <c r="A90" s="20">
        <f>IF(A30&lt;&gt;"",A30,"")</f>
      </c>
      <c r="B90" s="97"/>
      <c r="C90" s="81"/>
      <c r="D90" s="200">
        <f>+'work area'!H20</f>
        <v>0</v>
      </c>
      <c r="E90" s="153">
        <f t="shared" si="1"/>
        <v>0</v>
      </c>
      <c r="I90"/>
      <c r="J90"/>
      <c r="K90"/>
      <c r="L90"/>
      <c r="M90"/>
      <c r="N90"/>
    </row>
    <row r="91" spans="9:14" s="12" customFormat="1" ht="15">
      <c r="I91"/>
      <c r="J91"/>
      <c r="K91"/>
      <c r="L91"/>
      <c r="M91"/>
      <c r="N91"/>
    </row>
    <row r="92" spans="1:14" s="12" customFormat="1" ht="15">
      <c r="A92" s="157" t="s">
        <v>14</v>
      </c>
      <c r="B92" s="158"/>
      <c r="C92" s="166"/>
      <c r="D92" s="202">
        <f>SUM(D63:D90)</f>
        <v>668.4648572207384</v>
      </c>
      <c r="I92"/>
      <c r="J92"/>
      <c r="K92"/>
      <c r="L92"/>
      <c r="M92"/>
      <c r="N92"/>
    </row>
    <row r="93" spans="1:14" s="12" customFormat="1" ht="15">
      <c r="A93" s="157" t="str">
        <f>+"Total weight"</f>
        <v>Total weight</v>
      </c>
      <c r="B93" s="158"/>
      <c r="C93" s="166"/>
      <c r="D93" s="104">
        <f>+'work area'!I33</f>
        <v>412.1311688311688</v>
      </c>
      <c r="G93" s="84"/>
      <c r="H93" s="84"/>
      <c r="I93"/>
      <c r="J93"/>
      <c r="K93"/>
      <c r="L93"/>
      <c r="M93"/>
      <c r="N93"/>
    </row>
    <row r="94" spans="1:14" s="12" customFormat="1" ht="15">
      <c r="A94" s="157" t="str">
        <f>+"Batch cost per "&amp;'work area'!$N$8</f>
        <v>Batch cost per Kg</v>
      </c>
      <c r="B94" s="158"/>
      <c r="C94" s="166"/>
      <c r="D94" s="202">
        <f>+D92/D93</f>
        <v>1.6219711290377499</v>
      </c>
      <c r="G94" s="84"/>
      <c r="H94" s="84"/>
      <c r="I94"/>
      <c r="J94"/>
      <c r="K94"/>
      <c r="L94"/>
      <c r="M94"/>
      <c r="N94"/>
    </row>
    <row r="95" spans="1:14" s="12" customFormat="1" ht="15">
      <c r="A95" s="157" t="s">
        <v>166</v>
      </c>
      <c r="B95" s="158"/>
      <c r="C95" s="166"/>
      <c r="D95" s="105">
        <v>185</v>
      </c>
      <c r="I95"/>
      <c r="J95"/>
      <c r="K95"/>
      <c r="L95"/>
      <c r="M95"/>
      <c r="N95"/>
    </row>
    <row r="96" spans="1:14" s="12" customFormat="1" ht="15">
      <c r="A96" s="148" t="s">
        <v>167</v>
      </c>
      <c r="B96" s="149"/>
      <c r="C96" s="150"/>
      <c r="D96" s="105">
        <v>1</v>
      </c>
      <c r="I96"/>
      <c r="J96"/>
      <c r="K96"/>
      <c r="L96"/>
      <c r="M96"/>
      <c r="N96"/>
    </row>
    <row r="97" spans="1:14" s="12" customFormat="1" ht="15">
      <c r="A97" s="148" t="s">
        <v>164</v>
      </c>
      <c r="B97" s="149"/>
      <c r="C97" s="150"/>
      <c r="D97" s="156">
        <f>INT(D95/D96)</f>
        <v>185</v>
      </c>
      <c r="I97"/>
      <c r="J97"/>
      <c r="K97"/>
      <c r="L97"/>
      <c r="M97"/>
      <c r="N97"/>
    </row>
    <row r="98" spans="1:14" s="12" customFormat="1" ht="15">
      <c r="A98" s="157" t="s">
        <v>132</v>
      </c>
      <c r="B98" s="158"/>
      <c r="C98" s="159" t="s">
        <v>155</v>
      </c>
      <c r="D98" s="159"/>
      <c r="I98"/>
      <c r="J98"/>
      <c r="K98"/>
      <c r="L98"/>
      <c r="M98"/>
      <c r="N98"/>
    </row>
    <row r="99" spans="1:4" ht="15">
      <c r="A99" s="157" t="s">
        <v>165</v>
      </c>
      <c r="B99" s="158"/>
      <c r="C99" s="166"/>
      <c r="D99" s="202">
        <f>ROUND(D92/D97,2)</f>
        <v>3.61</v>
      </c>
    </row>
    <row r="100" spans="1:4" ht="15">
      <c r="A100" s="107"/>
      <c r="B100" s="107"/>
      <c r="C100" s="107"/>
      <c r="D100" s="107"/>
    </row>
    <row r="101" spans="1:4" ht="28.5" customHeight="1">
      <c r="A101" s="160" t="s">
        <v>15</v>
      </c>
      <c r="B101" s="161"/>
      <c r="C101" s="75" t="str">
        <f>+C62</f>
        <v>Amount per batch</v>
      </c>
      <c r="D101" s="75" t="s">
        <v>175</v>
      </c>
    </row>
    <row r="102" spans="1:4" ht="15">
      <c r="A102" s="162" t="str">
        <f>+"Raw materials waste"&amp;" ("&amp;'work area'!$N$8&amp;") per batch"</f>
        <v>Raw materials waste (Kg) per batch</v>
      </c>
      <c r="B102" s="163"/>
      <c r="C102" s="6">
        <v>6.03</v>
      </c>
      <c r="D102" s="203">
        <f>+C102*D94</f>
        <v>9.780485908097631</v>
      </c>
    </row>
    <row r="103" spans="1:4" ht="15">
      <c r="A103" s="162" t="str">
        <f>+"Splash over"&amp;" ("&amp;'work area'!$N$8&amp;") per batch"</f>
        <v>Splash over (Kg) per batch</v>
      </c>
      <c r="B103" s="163"/>
      <c r="C103" s="6">
        <v>1</v>
      </c>
      <c r="D103" s="203">
        <f>+C103*D94</f>
        <v>1.6219711290377499</v>
      </c>
    </row>
    <row r="104" spans="1:4" ht="15">
      <c r="A104" s="162" t="s">
        <v>25</v>
      </c>
      <c r="B104" s="163"/>
      <c r="C104" s="106">
        <v>2</v>
      </c>
      <c r="D104" s="204">
        <f>+C104*D99</f>
        <v>7.22</v>
      </c>
    </row>
    <row r="105" spans="1:4" ht="15">
      <c r="A105" s="157" t="s">
        <v>176</v>
      </c>
      <c r="B105" s="158"/>
      <c r="C105" s="166"/>
      <c r="D105" s="202">
        <f>SUM(D102:D104)</f>
        <v>18.62245703713538</v>
      </c>
    </row>
    <row r="106" spans="1:4" ht="15">
      <c r="A106" s="164" t="s">
        <v>26</v>
      </c>
      <c r="B106" s="167"/>
      <c r="C106" s="165"/>
      <c r="D106" s="205">
        <f>ROUND(D105/D95,2)</f>
        <v>0.1</v>
      </c>
    </row>
    <row r="107" spans="1:4" ht="15">
      <c r="A107" s="168" t="s">
        <v>177</v>
      </c>
      <c r="B107" s="169"/>
      <c r="C107" s="170"/>
      <c r="D107" s="206">
        <f>+D106+D99</f>
        <v>3.71</v>
      </c>
    </row>
    <row r="108" ht="15"/>
    <row r="109" spans="1:8" ht="15">
      <c r="A109" s="178" t="s">
        <v>0</v>
      </c>
      <c r="B109" s="178"/>
      <c r="C109" s="178"/>
      <c r="D109" s="178"/>
      <c r="E109" s="178"/>
      <c r="F109"/>
      <c r="G109"/>
      <c r="H109"/>
    </row>
    <row r="110" ht="15"/>
    <row r="112" spans="1:14" s="1" customFormat="1" ht="15">
      <c r="A112"/>
      <c r="D112" s="11"/>
      <c r="E112" s="12"/>
      <c r="F112" s="12"/>
      <c r="G112" s="12"/>
      <c r="H112" s="12"/>
      <c r="I112"/>
      <c r="J112"/>
      <c r="K112"/>
      <c r="L112"/>
      <c r="M112"/>
      <c r="N112"/>
    </row>
    <row r="113" spans="1:14" s="1" customFormat="1" ht="15">
      <c r="A113"/>
      <c r="D113" s="11"/>
      <c r="E113" s="12"/>
      <c r="F113" s="12"/>
      <c r="G113" s="12"/>
      <c r="H113" s="12"/>
      <c r="I113"/>
      <c r="J113"/>
      <c r="K113"/>
      <c r="L113"/>
      <c r="M113"/>
      <c r="N113"/>
    </row>
  </sheetData>
  <sheetProtection/>
  <mergeCells count="47">
    <mergeCell ref="A47:B47"/>
    <mergeCell ref="A93:C93"/>
    <mergeCell ref="A45:B45"/>
    <mergeCell ref="A46:B46"/>
    <mergeCell ref="A1:G1"/>
    <mergeCell ref="A33:B33"/>
    <mergeCell ref="A34:B34"/>
    <mergeCell ref="A35:B35"/>
    <mergeCell ref="A36:B36"/>
    <mergeCell ref="A48:B48"/>
    <mergeCell ref="A49:B49"/>
    <mergeCell ref="A50:B50"/>
    <mergeCell ref="A51:B51"/>
    <mergeCell ref="A52:B52"/>
    <mergeCell ref="A95:C95"/>
    <mergeCell ref="J3:K30"/>
    <mergeCell ref="A92:C92"/>
    <mergeCell ref="J32:K32"/>
    <mergeCell ref="A109:E109"/>
    <mergeCell ref="A32:B32"/>
    <mergeCell ref="A38:B38"/>
    <mergeCell ref="A39:B39"/>
    <mergeCell ref="A58:B58"/>
    <mergeCell ref="A59:B59"/>
    <mergeCell ref="A60:B60"/>
    <mergeCell ref="A37:B37"/>
    <mergeCell ref="A40:B40"/>
    <mergeCell ref="A41:B41"/>
    <mergeCell ref="A42:B42"/>
    <mergeCell ref="A43:B43"/>
    <mergeCell ref="A44:B44"/>
    <mergeCell ref="A103:B103"/>
    <mergeCell ref="A104:B104"/>
    <mergeCell ref="A105:C105"/>
    <mergeCell ref="A106:C106"/>
    <mergeCell ref="A107:C107"/>
    <mergeCell ref="A99:C99"/>
    <mergeCell ref="A98:B98"/>
    <mergeCell ref="C98:D98"/>
    <mergeCell ref="A101:B101"/>
    <mergeCell ref="A102:B102"/>
    <mergeCell ref="A53:B53"/>
    <mergeCell ref="A54:B54"/>
    <mergeCell ref="A55:B55"/>
    <mergeCell ref="A56:B56"/>
    <mergeCell ref="A57:B57"/>
    <mergeCell ref="A94:C94"/>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
      <selection activeCell="B40" activeCellId="37" sqref="B3 B4 E3 E4 C7 C8 C9 C10 C14 C15 C18 B23 B24 B26 B27 B29 B30 F7 F8 F9 F10 F11 G14 G15 F18 E23 E24 E26 E27 E29 E30 E32 B35 B36 B37 B38 B39 B40"/>
    </sheetView>
  </sheetViews>
  <sheetFormatPr defaultColWidth="9.140625" defaultRowHeight="15"/>
  <cols>
    <col min="1" max="1" width="31.8515625" style="0" customWidth="1"/>
    <col min="2" max="2" width="15.28125" style="1" customWidth="1"/>
    <col min="3" max="3" width="9.8515625" style="0" customWidth="1"/>
    <col min="4" max="4" width="10.421875" style="0" customWidth="1"/>
    <col min="5" max="5" width="10.00390625" style="1" customWidth="1"/>
  </cols>
  <sheetData>
    <row r="1" spans="1:5" ht="15">
      <c r="A1" s="49" t="s">
        <v>178</v>
      </c>
      <c r="B1" s="50"/>
      <c r="C1" s="51"/>
      <c r="D1" s="51"/>
      <c r="E1" s="50"/>
    </row>
    <row r="2" spans="1:5" ht="15">
      <c r="A2" s="36" t="s">
        <v>118</v>
      </c>
      <c r="B2" s="42" t="s">
        <v>4</v>
      </c>
      <c r="C2" s="36" t="s">
        <v>47</v>
      </c>
      <c r="D2" s="47" t="s">
        <v>179</v>
      </c>
      <c r="E2" s="42" t="s">
        <v>180</v>
      </c>
    </row>
    <row r="3" spans="1:5" ht="15">
      <c r="A3" s="38" t="s">
        <v>128</v>
      </c>
      <c r="B3" s="207">
        <f>+'Food Cost'!D92</f>
        <v>668.4648572207384</v>
      </c>
      <c r="C3" s="40" t="s">
        <v>49</v>
      </c>
      <c r="D3" s="52">
        <f>+'Food Cost'!D95</f>
        <v>185</v>
      </c>
      <c r="E3" s="208">
        <f>+B3/D3</f>
        <v>3.6133235525445317</v>
      </c>
    </row>
    <row r="4" spans="1:5" ht="15">
      <c r="A4" s="38" t="s">
        <v>50</v>
      </c>
      <c r="B4" s="207">
        <f>+'Food Cost'!D105</f>
        <v>18.62245703713538</v>
      </c>
      <c r="C4" s="40" t="s">
        <v>49</v>
      </c>
      <c r="D4" s="52">
        <f>+D3</f>
        <v>185</v>
      </c>
      <c r="E4" s="208">
        <f>+B4/D4</f>
        <v>0.10066192993046151</v>
      </c>
    </row>
    <row r="5" spans="1:5" ht="15">
      <c r="A5" s="2"/>
      <c r="B5" s="3"/>
      <c r="C5" s="2"/>
      <c r="D5" s="2"/>
      <c r="E5" s="3"/>
    </row>
    <row r="6" spans="1:6" ht="30">
      <c r="A6" s="127" t="s">
        <v>181</v>
      </c>
      <c r="B6" s="27" t="s">
        <v>142</v>
      </c>
      <c r="C6" s="128" t="s">
        <v>130</v>
      </c>
      <c r="D6" s="112" t="s">
        <v>129</v>
      </c>
      <c r="E6" s="108" t="s">
        <v>116</v>
      </c>
      <c r="F6" s="111" t="s">
        <v>48</v>
      </c>
    </row>
    <row r="7" spans="1:6" ht="15">
      <c r="A7" s="88" t="s">
        <v>139</v>
      </c>
      <c r="B7" s="130" t="s">
        <v>158</v>
      </c>
      <c r="C7" s="209">
        <v>28</v>
      </c>
      <c r="D7" s="97">
        <v>250</v>
      </c>
      <c r="E7" s="97">
        <v>1</v>
      </c>
      <c r="F7" s="214">
        <f>IF(E7,C7/D7*E7,0)</f>
        <v>0.112</v>
      </c>
    </row>
    <row r="8" spans="1:6" ht="15">
      <c r="A8" s="88" t="s">
        <v>140</v>
      </c>
      <c r="B8" s="130" t="s">
        <v>159</v>
      </c>
      <c r="C8" s="209">
        <v>21</v>
      </c>
      <c r="D8" s="97">
        <v>300</v>
      </c>
      <c r="E8" s="97">
        <v>1</v>
      </c>
      <c r="F8" s="214">
        <f>IF(E8,C8/D8*E8,0)</f>
        <v>0.07</v>
      </c>
    </row>
    <row r="9" spans="1:6" ht="15">
      <c r="A9" s="88" t="s">
        <v>141</v>
      </c>
      <c r="B9" s="130" t="s">
        <v>160</v>
      </c>
      <c r="C9" s="209">
        <v>18</v>
      </c>
      <c r="D9" s="97">
        <v>2500</v>
      </c>
      <c r="E9" s="97">
        <v>1.25</v>
      </c>
      <c r="F9" s="214">
        <f>IF(E9,C9/D9*E9,0)</f>
        <v>0.009</v>
      </c>
    </row>
    <row r="10" spans="1:6" ht="15">
      <c r="A10" s="88" t="s">
        <v>149</v>
      </c>
      <c r="B10" s="5" t="s">
        <v>144</v>
      </c>
      <c r="C10" s="209">
        <v>8</v>
      </c>
      <c r="D10" s="97">
        <v>1000</v>
      </c>
      <c r="E10" s="97">
        <v>1</v>
      </c>
      <c r="F10" s="214">
        <f>IF(E10,C10/D10*E10,0)</f>
        <v>0.008</v>
      </c>
    </row>
    <row r="11" spans="1:6" ht="15">
      <c r="A11" s="88" t="s">
        <v>150</v>
      </c>
      <c r="B11" s="5"/>
      <c r="C11" s="131"/>
      <c r="D11" s="97"/>
      <c r="E11" s="97"/>
      <c r="F11" s="214">
        <f>IF(E11,C11/D11*E11,0)</f>
        <v>0</v>
      </c>
    </row>
    <row r="12" spans="1:5" ht="15">
      <c r="A12" s="2"/>
      <c r="B12" s="3"/>
      <c r="C12" s="2"/>
      <c r="D12" s="2"/>
      <c r="E12" s="3"/>
    </row>
    <row r="13" spans="1:7" ht="57" customHeight="1">
      <c r="A13" s="127" t="s">
        <v>182</v>
      </c>
      <c r="B13" s="27" t="s">
        <v>142</v>
      </c>
      <c r="C13" s="128" t="s">
        <v>130</v>
      </c>
      <c r="D13" s="114" t="s">
        <v>129</v>
      </c>
      <c r="E13" s="108" t="s">
        <v>117</v>
      </c>
      <c r="F13" s="116" t="str">
        <f>+"How many units of "&amp;'Food Cost'!C98&amp;" /case?"</f>
        <v>How many units of apple pie /case?</v>
      </c>
      <c r="G13" s="111" t="s">
        <v>180</v>
      </c>
    </row>
    <row r="14" spans="1:7" ht="15">
      <c r="A14" s="88" t="s">
        <v>51</v>
      </c>
      <c r="B14" s="5" t="s">
        <v>143</v>
      </c>
      <c r="C14" s="210">
        <v>40</v>
      </c>
      <c r="D14" s="8">
        <v>20</v>
      </c>
      <c r="E14" s="113">
        <v>1</v>
      </c>
      <c r="F14" s="97">
        <v>12</v>
      </c>
      <c r="G14" s="208">
        <f>+C14/D14*E14/F14</f>
        <v>0.16666666666666666</v>
      </c>
    </row>
    <row r="15" spans="1:7" ht="15">
      <c r="A15" s="88" t="s">
        <v>53</v>
      </c>
      <c r="B15" s="5" t="s">
        <v>144</v>
      </c>
      <c r="C15" s="210">
        <v>5</v>
      </c>
      <c r="D15" s="8">
        <v>25</v>
      </c>
      <c r="E15" s="113">
        <v>1</v>
      </c>
      <c r="F15" s="124">
        <f>+F14</f>
        <v>12</v>
      </c>
      <c r="G15" s="208">
        <f>+C15/D15*E15/F15</f>
        <v>0.016666666666666666</v>
      </c>
    </row>
    <row r="16" spans="1:8" s="46" customFormat="1" ht="15">
      <c r="A16" s="141"/>
      <c r="B16" s="143"/>
      <c r="C16" s="142"/>
      <c r="D16" s="115"/>
      <c r="E16" s="40"/>
      <c r="F16" s="45"/>
      <c r="G16"/>
      <c r="H16"/>
    </row>
    <row r="17" spans="1:6" ht="45">
      <c r="A17" s="127" t="s">
        <v>183</v>
      </c>
      <c r="B17" s="129"/>
      <c r="C17" s="128" t="s">
        <v>130</v>
      </c>
      <c r="D17" s="114" t="s">
        <v>129</v>
      </c>
      <c r="E17" s="108" t="s">
        <v>117</v>
      </c>
      <c r="F17" s="111" t="s">
        <v>180</v>
      </c>
    </row>
    <row r="18" spans="1:6" ht="15">
      <c r="A18" s="88" t="s">
        <v>52</v>
      </c>
      <c r="B18" s="5" t="s">
        <v>145</v>
      </c>
      <c r="C18" s="211">
        <v>3.5</v>
      </c>
      <c r="D18" s="97">
        <v>1000</v>
      </c>
      <c r="E18" s="97">
        <v>3</v>
      </c>
      <c r="F18" s="208">
        <f>+E18/D18*C18</f>
        <v>0.0105</v>
      </c>
    </row>
    <row r="19" spans="1:5" ht="15">
      <c r="A19" s="2"/>
      <c r="B19" s="3"/>
      <c r="C19" s="2"/>
      <c r="D19" s="2"/>
      <c r="E19" s="3"/>
    </row>
    <row r="20" spans="1:5" ht="15">
      <c r="A20" s="178" t="s">
        <v>0</v>
      </c>
      <c r="B20" s="178"/>
      <c r="C20" s="178"/>
      <c r="D20" s="178"/>
      <c r="E20" s="178"/>
    </row>
    <row r="21" spans="1:5" ht="15">
      <c r="A21" s="2"/>
      <c r="B21" s="3"/>
      <c r="C21" s="2"/>
      <c r="D21" s="2"/>
      <c r="E21" s="3"/>
    </row>
    <row r="22" spans="1:7" ht="29.25" customHeight="1">
      <c r="A22" s="27" t="s">
        <v>119</v>
      </c>
      <c r="B22" s="117" t="s">
        <v>83</v>
      </c>
      <c r="C22" s="103" t="s">
        <v>120</v>
      </c>
      <c r="D22" s="133" t="s">
        <v>71</v>
      </c>
      <c r="E22" s="75" t="s">
        <v>127</v>
      </c>
      <c r="F22" s="181" t="s">
        <v>110</v>
      </c>
      <c r="G22" s="181"/>
    </row>
    <row r="23" spans="1:7" ht="14.25" customHeight="1">
      <c r="A23" s="109" t="s">
        <v>121</v>
      </c>
      <c r="B23" s="212">
        <v>28</v>
      </c>
      <c r="C23" s="110">
        <v>1.5</v>
      </c>
      <c r="D23" s="134">
        <f>(C23*B23)*1.18</f>
        <v>49.559999999999995</v>
      </c>
      <c r="E23" s="203">
        <f>+D23/$D$3</f>
        <v>0.2678918918918919</v>
      </c>
      <c r="F23" s="181"/>
      <c r="G23" s="181"/>
    </row>
    <row r="24" spans="1:7" ht="14.25" customHeight="1">
      <c r="A24" s="109" t="s">
        <v>122</v>
      </c>
      <c r="B24" s="212">
        <v>0</v>
      </c>
      <c r="C24" s="110">
        <v>0</v>
      </c>
      <c r="D24" s="135">
        <f>(C24*B24)*1.18</f>
        <v>0</v>
      </c>
      <c r="E24" s="203">
        <f>+D24/$D$3</f>
        <v>0</v>
      </c>
      <c r="F24" s="181"/>
      <c r="G24" s="181"/>
    </row>
    <row r="25" spans="1:7" ht="14.25" customHeight="1">
      <c r="A25" s="2"/>
      <c r="B25" s="132"/>
      <c r="C25" s="2"/>
      <c r="D25" s="136"/>
      <c r="E25" s="139"/>
      <c r="F25" s="181"/>
      <c r="G25" s="181"/>
    </row>
    <row r="26" spans="1:7" ht="15">
      <c r="A26" s="38" t="s">
        <v>123</v>
      </c>
      <c r="B26" s="213">
        <v>12</v>
      </c>
      <c r="C26" s="97">
        <v>1.5</v>
      </c>
      <c r="D26" s="135">
        <f>(C26*B26)*1.18</f>
        <v>21.24</v>
      </c>
      <c r="E26" s="203">
        <f>+D26/$D$3</f>
        <v>0.1148108108108108</v>
      </c>
      <c r="F26" s="181"/>
      <c r="G26" s="181"/>
    </row>
    <row r="27" spans="1:7" ht="15">
      <c r="A27" s="38" t="s">
        <v>124</v>
      </c>
      <c r="B27" s="213">
        <v>12</v>
      </c>
      <c r="C27" s="97">
        <v>1.5</v>
      </c>
      <c r="D27" s="135">
        <f>(C27*B27)*1.18</f>
        <v>21.24</v>
      </c>
      <c r="E27" s="203">
        <f>+D27/$D$3</f>
        <v>0.1148108108108108</v>
      </c>
      <c r="F27" s="181"/>
      <c r="G27" s="181"/>
    </row>
    <row r="28" spans="1:7" ht="15">
      <c r="A28" s="2"/>
      <c r="B28" s="132"/>
      <c r="C28" s="2"/>
      <c r="D28" s="136"/>
      <c r="E28" s="139"/>
      <c r="F28" s="181"/>
      <c r="G28" s="181"/>
    </row>
    <row r="29" spans="1:7" ht="15">
      <c r="A29" s="38" t="s">
        <v>125</v>
      </c>
      <c r="B29" s="213">
        <v>12</v>
      </c>
      <c r="C29" s="97">
        <v>0.75</v>
      </c>
      <c r="D29" s="135">
        <f>(C29*B29)*1.18</f>
        <v>10.62</v>
      </c>
      <c r="E29" s="203">
        <f>+D29/$D$3</f>
        <v>0.0574054054054054</v>
      </c>
      <c r="F29" s="181"/>
      <c r="G29" s="181"/>
    </row>
    <row r="30" spans="1:7" ht="15">
      <c r="A30" s="38" t="s">
        <v>126</v>
      </c>
      <c r="B30" s="213">
        <v>0</v>
      </c>
      <c r="C30" s="97">
        <v>0</v>
      </c>
      <c r="D30" s="135">
        <f>(C30*B30)*1.18</f>
        <v>0</v>
      </c>
      <c r="E30" s="203">
        <f>+D30/$D$3</f>
        <v>0</v>
      </c>
      <c r="F30" s="181"/>
      <c r="G30" s="181"/>
    </row>
    <row r="31" spans="1:7" ht="15">
      <c r="A31" s="2"/>
      <c r="B31" s="3"/>
      <c r="C31" s="2"/>
      <c r="D31" s="137"/>
      <c r="E31" s="140"/>
      <c r="F31" s="181"/>
      <c r="G31" s="181"/>
    </row>
    <row r="32" spans="1:5" ht="15">
      <c r="A32" s="180" t="s">
        <v>184</v>
      </c>
      <c r="B32" s="180"/>
      <c r="C32" s="180"/>
      <c r="D32" s="180"/>
      <c r="E32" s="215">
        <f>+SUM(E3:E4,F7:F11,G14:G15,F18,E23:E30)</f>
        <v>4.661737734727246</v>
      </c>
    </row>
    <row r="34" spans="1:4" ht="28.5" customHeight="1">
      <c r="A34" s="95" t="s">
        <v>185</v>
      </c>
      <c r="B34" s="93" t="s">
        <v>4</v>
      </c>
      <c r="C34" s="94" t="s">
        <v>112</v>
      </c>
      <c r="D34" s="94" t="s">
        <v>186</v>
      </c>
    </row>
    <row r="35" spans="1:4" ht="15">
      <c r="A35" s="88" t="s">
        <v>187</v>
      </c>
      <c r="B35" s="208">
        <f>+SUM(E3:E4)</f>
        <v>3.7139854824749934</v>
      </c>
      <c r="C35" s="90">
        <f aca="true" t="shared" si="0" ref="C35:C40">+B35/$B$40</f>
        <v>0.7966955015096524</v>
      </c>
      <c r="D35" s="91">
        <f>+C35</f>
        <v>0.7966955015096524</v>
      </c>
    </row>
    <row r="36" spans="1:4" ht="15">
      <c r="A36" s="88" t="s">
        <v>188</v>
      </c>
      <c r="B36" s="208">
        <f>+SUM(F7:F11,G14:G15,F18)</f>
        <v>0.39283333333333337</v>
      </c>
      <c r="C36" s="90">
        <f t="shared" si="0"/>
        <v>0.08426757481592168</v>
      </c>
      <c r="D36" s="91">
        <f>+C36</f>
        <v>0.08426757481592168</v>
      </c>
    </row>
    <row r="37" spans="1:4" ht="15">
      <c r="A37" s="88" t="s">
        <v>54</v>
      </c>
      <c r="B37" s="208">
        <f>+SUM(E23:E24)</f>
        <v>0.2678918918918919</v>
      </c>
      <c r="C37" s="90">
        <f t="shared" si="0"/>
        <v>0.05746610108420569</v>
      </c>
      <c r="D37" s="38"/>
    </row>
    <row r="38" spans="1:4" ht="15">
      <c r="A38" s="88" t="s">
        <v>55</v>
      </c>
      <c r="B38" s="208">
        <f>+SUM(E26:E27)</f>
        <v>0.2296216216216216</v>
      </c>
      <c r="C38" s="90">
        <f t="shared" si="0"/>
        <v>0.0492566580721763</v>
      </c>
      <c r="D38" s="38"/>
    </row>
    <row r="39" spans="1:4" ht="15">
      <c r="A39" s="88" t="s">
        <v>56</v>
      </c>
      <c r="B39" s="208">
        <f>+SUM(E29:E30)</f>
        <v>0.0574054054054054</v>
      </c>
      <c r="C39" s="90">
        <f t="shared" si="0"/>
        <v>0.012314164518044075</v>
      </c>
      <c r="D39" s="91">
        <f>+C39+C38+C37</f>
        <v>0.11903692367442606</v>
      </c>
    </row>
    <row r="40" spans="1:4" ht="15">
      <c r="A40" s="89" t="s">
        <v>111</v>
      </c>
      <c r="B40" s="216">
        <f>SUM(B35:B39)</f>
        <v>4.661737734727245</v>
      </c>
      <c r="C40" s="86">
        <f t="shared" si="0"/>
        <v>1</v>
      </c>
      <c r="D40" s="92">
        <f>SUM(D35:D39)</f>
        <v>1</v>
      </c>
    </row>
  </sheetData>
  <sheetProtection/>
  <mergeCells count="3">
    <mergeCell ref="A20:E20"/>
    <mergeCell ref="A32:D32"/>
    <mergeCell ref="F22:G31"/>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21"/>
  <sheetViews>
    <sheetView zoomScalePageLayoutView="0" workbookViewId="0" topLeftCell="A1">
      <selection activeCell="H24" sqref="H24"/>
    </sheetView>
  </sheetViews>
  <sheetFormatPr defaultColWidth="8.8515625" defaultRowHeight="15"/>
  <cols>
    <col min="1" max="1" width="29.140625" style="0" customWidth="1"/>
    <col min="2" max="2" width="11.28125" style="1" bestFit="1" customWidth="1"/>
    <col min="3" max="3" width="8.8515625" style="0" customWidth="1"/>
    <col min="4" max="4" width="27.8515625" style="0" customWidth="1"/>
    <col min="5" max="5" width="11.421875" style="1" customWidth="1"/>
  </cols>
  <sheetData>
    <row r="1" spans="1:4" ht="15">
      <c r="A1" s="35" t="s">
        <v>189</v>
      </c>
      <c r="D1" s="35" t="s">
        <v>69</v>
      </c>
    </row>
    <row r="2" spans="1:5" ht="15">
      <c r="A2" s="36" t="s">
        <v>190</v>
      </c>
      <c r="B2" s="37" t="s">
        <v>4</v>
      </c>
      <c r="D2" s="36" t="s">
        <v>190</v>
      </c>
      <c r="E2" s="37" t="s">
        <v>4</v>
      </c>
    </row>
    <row r="3" spans="1:5" s="39" customFormat="1" ht="15">
      <c r="A3" s="38" t="s">
        <v>27</v>
      </c>
      <c r="B3" s="217">
        <v>25</v>
      </c>
      <c r="C3" s="54"/>
      <c r="D3" s="55" t="s">
        <v>28</v>
      </c>
      <c r="E3" s="217">
        <v>800</v>
      </c>
    </row>
    <row r="4" spans="1:5" s="39" customFormat="1" ht="15">
      <c r="A4" s="38" t="s">
        <v>192</v>
      </c>
      <c r="B4" s="217">
        <v>25</v>
      </c>
      <c r="C4" s="54"/>
      <c r="D4" s="55" t="s">
        <v>29</v>
      </c>
      <c r="E4" s="217">
        <v>50</v>
      </c>
    </row>
    <row r="5" spans="1:5" s="39" customFormat="1" ht="15">
      <c r="A5" s="38" t="s">
        <v>191</v>
      </c>
      <c r="B5" s="217">
        <v>50</v>
      </c>
      <c r="C5" s="54"/>
      <c r="D5" s="55" t="s">
        <v>30</v>
      </c>
      <c r="E5" s="217">
        <v>0</v>
      </c>
    </row>
    <row r="6" spans="1:5" ht="15">
      <c r="A6" s="38" t="s">
        <v>31</v>
      </c>
      <c r="B6" s="217">
        <v>50</v>
      </c>
      <c r="C6" s="54"/>
      <c r="D6" s="55" t="s">
        <v>32</v>
      </c>
      <c r="E6" s="217">
        <v>600</v>
      </c>
    </row>
    <row r="7" spans="1:5" ht="15">
      <c r="A7" s="38" t="s">
        <v>33</v>
      </c>
      <c r="B7" s="217">
        <v>100</v>
      </c>
      <c r="C7" s="54"/>
      <c r="D7" s="55" t="s">
        <v>34</v>
      </c>
      <c r="E7" s="217">
        <v>500</v>
      </c>
    </row>
    <row r="8" spans="1:5" ht="15">
      <c r="A8" s="38" t="s">
        <v>35</v>
      </c>
      <c r="B8" s="217">
        <v>52.71</v>
      </c>
      <c r="C8" s="54"/>
      <c r="D8" s="40" t="s">
        <v>193</v>
      </c>
      <c r="E8" s="217">
        <v>500</v>
      </c>
    </row>
    <row r="9" spans="1:5" ht="15">
      <c r="A9" s="38" t="s">
        <v>36</v>
      </c>
      <c r="B9" s="217">
        <v>45</v>
      </c>
      <c r="C9" s="54"/>
      <c r="D9" s="55" t="s">
        <v>37</v>
      </c>
      <c r="E9" s="217">
        <v>300</v>
      </c>
    </row>
    <row r="10" spans="1:5" ht="15">
      <c r="A10" s="38" t="s">
        <v>38</v>
      </c>
      <c r="B10" s="217">
        <v>21.08</v>
      </c>
      <c r="C10" s="54"/>
      <c r="D10" s="55" t="s">
        <v>39</v>
      </c>
      <c r="E10" s="217">
        <v>125</v>
      </c>
    </row>
    <row r="11" spans="1:5" ht="15">
      <c r="A11" s="38" t="s">
        <v>40</v>
      </c>
      <c r="B11" s="217">
        <v>10</v>
      </c>
      <c r="C11" s="54"/>
      <c r="D11" s="55" t="s">
        <v>41</v>
      </c>
      <c r="E11" s="217">
        <v>30</v>
      </c>
    </row>
    <row r="12" spans="1:5" ht="15">
      <c r="A12" s="38" t="s">
        <v>42</v>
      </c>
      <c r="B12" s="217">
        <v>23</v>
      </c>
      <c r="C12" s="54"/>
      <c r="D12" s="55" t="s">
        <v>43</v>
      </c>
      <c r="E12" s="217">
        <v>180</v>
      </c>
    </row>
    <row r="13" spans="1:5" ht="15">
      <c r="A13" s="41"/>
      <c r="B13" s="217">
        <v>0</v>
      </c>
      <c r="C13" s="54"/>
      <c r="D13" s="56"/>
      <c r="E13" s="217">
        <v>0</v>
      </c>
    </row>
    <row r="14" spans="1:5" ht="15">
      <c r="A14" s="41"/>
      <c r="B14" s="217">
        <v>0</v>
      </c>
      <c r="C14" s="54"/>
      <c r="D14" s="56"/>
      <c r="E14" s="217">
        <v>0</v>
      </c>
    </row>
    <row r="15" spans="1:5" ht="15">
      <c r="A15" s="41"/>
      <c r="B15" s="217">
        <v>0</v>
      </c>
      <c r="C15" s="54"/>
      <c r="D15" s="56"/>
      <c r="E15" s="217">
        <v>0</v>
      </c>
    </row>
    <row r="16" spans="1:5" ht="15">
      <c r="A16" s="41"/>
      <c r="B16" s="217">
        <v>0</v>
      </c>
      <c r="C16" s="54"/>
      <c r="D16" s="56"/>
      <c r="E16" s="217">
        <v>0</v>
      </c>
    </row>
    <row r="17" spans="1:5" ht="15">
      <c r="A17" s="41"/>
      <c r="B17" s="217">
        <v>0</v>
      </c>
      <c r="C17" s="54"/>
      <c r="D17" s="56"/>
      <c r="E17" s="217">
        <v>0</v>
      </c>
    </row>
    <row r="18" spans="1:5" ht="15">
      <c r="A18" s="41"/>
      <c r="B18" s="217">
        <v>0</v>
      </c>
      <c r="D18" s="41"/>
      <c r="E18" s="217">
        <v>0</v>
      </c>
    </row>
    <row r="19" spans="1:5" ht="15">
      <c r="A19" s="41"/>
      <c r="B19" s="217">
        <v>0</v>
      </c>
      <c r="D19" s="41"/>
      <c r="E19" s="217">
        <v>0</v>
      </c>
    </row>
    <row r="20" spans="1:5" ht="15">
      <c r="A20" s="36" t="s">
        <v>44</v>
      </c>
      <c r="B20" s="216">
        <f>SUM(B3:B19)</f>
        <v>401.78999999999996</v>
      </c>
      <c r="D20" s="36" t="s">
        <v>45</v>
      </c>
      <c r="E20" s="216">
        <f>SUM(E3:E19)</f>
        <v>3085</v>
      </c>
    </row>
    <row r="21" spans="1:2" ht="15">
      <c r="A21" s="43"/>
      <c r="B21" s="44"/>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44"/>
  <sheetViews>
    <sheetView zoomScalePageLayoutView="0" workbookViewId="0" topLeftCell="A1">
      <selection activeCell="H44" activeCellId="18" sqref="G6:G19 G21 G22 G23 G24 G27 G28 G29 G30 H33 H34 H35 H36 H37 H40 H41 H42 H43 H44"/>
    </sheetView>
  </sheetViews>
  <sheetFormatPr defaultColWidth="9.140625" defaultRowHeight="15"/>
  <cols>
    <col min="1" max="1" width="3.57421875" style="12" customWidth="1"/>
    <col min="2" max="2" width="27.28125" style="0" customWidth="1"/>
    <col min="3" max="3" width="3.7109375" style="12" customWidth="1"/>
    <col min="4" max="4" width="8.8515625" style="0" customWidth="1"/>
    <col min="5" max="5" width="11.421875" style="0" bestFit="1" customWidth="1"/>
    <col min="6" max="6" width="9.7109375" style="0" customWidth="1"/>
    <col min="7" max="7" width="11.421875" style="0" bestFit="1" customWidth="1"/>
    <col min="8" max="8" width="12.421875" style="0" bestFit="1" customWidth="1"/>
    <col min="9" max="9" width="13.28125" style="0" customWidth="1"/>
    <col min="10" max="10" width="10.28125" style="0" bestFit="1" customWidth="1"/>
  </cols>
  <sheetData>
    <row r="1" ht="15.75">
      <c r="B1" s="58" t="s">
        <v>89</v>
      </c>
    </row>
    <row r="2" spans="2:8" ht="15.75">
      <c r="B2" s="58" t="s">
        <v>46</v>
      </c>
      <c r="H2" s="35"/>
    </row>
    <row r="3" spans="4:7" ht="11.25" customHeight="1">
      <c r="D3" s="59"/>
      <c r="E3" s="59"/>
      <c r="F3" s="28"/>
      <c r="G3" s="28"/>
    </row>
    <row r="4" spans="1:9" ht="14.25" customHeight="1">
      <c r="A4" s="60"/>
      <c r="B4" s="38"/>
      <c r="C4" s="60"/>
      <c r="D4" s="186" t="s">
        <v>57</v>
      </c>
      <c r="E4" s="187"/>
      <c r="F4" s="188" t="s">
        <v>58</v>
      </c>
      <c r="G4" s="186"/>
      <c r="H4" s="185" t="s">
        <v>84</v>
      </c>
      <c r="I4" s="185"/>
    </row>
    <row r="5" spans="1:9" ht="15">
      <c r="A5" s="60" t="s">
        <v>59</v>
      </c>
      <c r="B5" s="38"/>
      <c r="C5" s="60"/>
      <c r="D5" s="61" t="s">
        <v>60</v>
      </c>
      <c r="E5" s="62" t="s">
        <v>216</v>
      </c>
      <c r="F5" s="62" t="s">
        <v>60</v>
      </c>
      <c r="G5" s="87" t="s">
        <v>61</v>
      </c>
      <c r="H5" s="185"/>
      <c r="I5" s="185"/>
    </row>
    <row r="6" spans="1:9" ht="15">
      <c r="A6" s="63">
        <v>1</v>
      </c>
      <c r="B6" s="64" t="s">
        <v>194</v>
      </c>
      <c r="C6" s="63" t="s">
        <v>62</v>
      </c>
      <c r="D6" s="53"/>
      <c r="E6" s="218">
        <f>+E8/(1-D7)</f>
        <v>16.55355135483734</v>
      </c>
      <c r="F6" s="53"/>
      <c r="G6" s="225">
        <f>+G8/(1-F7)</f>
        <v>13.15087690967633</v>
      </c>
      <c r="H6" s="185"/>
      <c r="I6" s="185"/>
    </row>
    <row r="7" spans="1:9" ht="15">
      <c r="A7" s="65">
        <v>2</v>
      </c>
      <c r="B7" s="53" t="s">
        <v>195</v>
      </c>
      <c r="C7" s="65" t="s">
        <v>63</v>
      </c>
      <c r="D7" s="66">
        <v>0.35</v>
      </c>
      <c r="E7" s="218">
        <f>+E6-E8</f>
        <v>5.793742974193069</v>
      </c>
      <c r="F7" s="66">
        <v>0.25</v>
      </c>
      <c r="G7" s="225">
        <f>+G6-G8</f>
        <v>3.287719227419082</v>
      </c>
      <c r="H7" s="185"/>
      <c r="I7" s="185"/>
    </row>
    <row r="8" spans="1:9" ht="15">
      <c r="A8" s="65">
        <v>3</v>
      </c>
      <c r="B8" s="53" t="s">
        <v>64</v>
      </c>
      <c r="C8" s="65" t="s">
        <v>62</v>
      </c>
      <c r="D8" s="53"/>
      <c r="E8" s="218">
        <f>SUM(E9:E11)</f>
        <v>10.75980838064427</v>
      </c>
      <c r="F8" s="53"/>
      <c r="G8" s="225">
        <f>SUM(G9:G11)</f>
        <v>9.863157682257247</v>
      </c>
      <c r="H8" s="185"/>
      <c r="I8" s="185"/>
    </row>
    <row r="9" spans="1:9" ht="15">
      <c r="A9" s="65">
        <v>4</v>
      </c>
      <c r="B9" s="53" t="s">
        <v>65</v>
      </c>
      <c r="C9" s="65" t="s">
        <v>63</v>
      </c>
      <c r="D9" s="66">
        <v>0.01</v>
      </c>
      <c r="E9" s="218">
        <f>+D9*E11</f>
        <v>0.1015076262324931</v>
      </c>
      <c r="F9" s="67">
        <f>+D9</f>
        <v>0.01</v>
      </c>
      <c r="G9" s="225">
        <f>+F9*G11</f>
        <v>0.09304865737978535</v>
      </c>
      <c r="H9" s="185"/>
      <c r="I9" s="185"/>
    </row>
    <row r="10" spans="1:9" ht="15">
      <c r="A10" s="65">
        <v>5</v>
      </c>
      <c r="B10" s="53" t="s">
        <v>66</v>
      </c>
      <c r="C10" s="65" t="s">
        <v>63</v>
      </c>
      <c r="D10" s="66">
        <v>0.05</v>
      </c>
      <c r="E10" s="218">
        <f>+D10*E11</f>
        <v>0.5075381311624655</v>
      </c>
      <c r="F10" s="67">
        <f>+D10</f>
        <v>0.05</v>
      </c>
      <c r="G10" s="225">
        <f>+F10*G11</f>
        <v>0.46524328689892674</v>
      </c>
      <c r="H10" s="185"/>
      <c r="I10" s="185"/>
    </row>
    <row r="11" spans="1:9" ht="15">
      <c r="A11" s="48">
        <v>6</v>
      </c>
      <c r="B11" s="15" t="s">
        <v>196</v>
      </c>
      <c r="C11" s="48" t="s">
        <v>62</v>
      </c>
      <c r="D11" s="15"/>
      <c r="E11" s="219">
        <f>+E17/(1-SUM(D12:D16))</f>
        <v>10.15076262324931</v>
      </c>
      <c r="F11" s="15"/>
      <c r="G11" s="226">
        <f>+G17/(1-SUM(F12:F16))</f>
        <v>9.304865737978535</v>
      </c>
      <c r="H11" s="185"/>
      <c r="I11" s="185"/>
    </row>
    <row r="12" spans="1:9" ht="15">
      <c r="A12" s="65">
        <v>7</v>
      </c>
      <c r="B12" s="53" t="s">
        <v>197</v>
      </c>
      <c r="C12" s="65" t="s">
        <v>63</v>
      </c>
      <c r="D12" s="66">
        <v>0.025</v>
      </c>
      <c r="E12" s="218">
        <f>+D12*E11</f>
        <v>0.25376906558123274</v>
      </c>
      <c r="F12" s="67">
        <f>+D12</f>
        <v>0.025</v>
      </c>
      <c r="G12" s="225">
        <f>+F12*G11</f>
        <v>0.23262164344946337</v>
      </c>
      <c r="H12" s="185"/>
      <c r="I12" s="185"/>
    </row>
    <row r="13" spans="1:9" ht="15">
      <c r="A13" s="65">
        <v>8</v>
      </c>
      <c r="B13" s="53" t="s">
        <v>198</v>
      </c>
      <c r="C13" s="65" t="s">
        <v>63</v>
      </c>
      <c r="D13" s="66">
        <v>0.02</v>
      </c>
      <c r="E13" s="218">
        <f>+D13*E11</f>
        <v>0.2030152524649862</v>
      </c>
      <c r="F13" s="67">
        <f>+D13</f>
        <v>0.02</v>
      </c>
      <c r="G13" s="225">
        <f>+F13*G11</f>
        <v>0.1860973147595707</v>
      </c>
      <c r="H13" s="185"/>
      <c r="I13" s="185"/>
    </row>
    <row r="14" spans="1:7" ht="15">
      <c r="A14" s="65">
        <v>9</v>
      </c>
      <c r="B14" s="53" t="s">
        <v>199</v>
      </c>
      <c r="C14" s="65" t="s">
        <v>63</v>
      </c>
      <c r="D14" s="66">
        <v>0.04</v>
      </c>
      <c r="E14" s="218">
        <f>+D14*E11</f>
        <v>0.4060305049299724</v>
      </c>
      <c r="F14" s="67">
        <f>+D14</f>
        <v>0.04</v>
      </c>
      <c r="G14" s="218">
        <f>+F14*G11</f>
        <v>0.3721946295191414</v>
      </c>
    </row>
    <row r="15" spans="1:7" ht="15">
      <c r="A15" s="65">
        <v>10</v>
      </c>
      <c r="B15" s="53" t="s">
        <v>200</v>
      </c>
      <c r="C15" s="65" t="s">
        <v>63</v>
      </c>
      <c r="D15" s="66">
        <v>0.03</v>
      </c>
      <c r="E15" s="218">
        <f>+D15*E11</f>
        <v>0.3045228786974793</v>
      </c>
      <c r="F15" s="67">
        <f>+D15</f>
        <v>0.03</v>
      </c>
      <c r="G15" s="218">
        <f>+F15*G11</f>
        <v>0.27914597213935605</v>
      </c>
    </row>
    <row r="16" spans="1:7" ht="15">
      <c r="A16" s="65">
        <v>11</v>
      </c>
      <c r="B16" s="53" t="s">
        <v>67</v>
      </c>
      <c r="C16" s="65" t="s">
        <v>63</v>
      </c>
      <c r="D16" s="66">
        <v>0.05</v>
      </c>
      <c r="E16" s="218">
        <f>+D16*E11</f>
        <v>0.5075381311624655</v>
      </c>
      <c r="F16" s="67">
        <f>+D16</f>
        <v>0.05</v>
      </c>
      <c r="G16" s="218">
        <f>+F16*G11</f>
        <v>0.46524328689892674</v>
      </c>
    </row>
    <row r="17" spans="1:10" ht="15">
      <c r="A17" s="65">
        <v>12</v>
      </c>
      <c r="B17" s="53" t="s">
        <v>201</v>
      </c>
      <c r="C17" s="65" t="s">
        <v>62</v>
      </c>
      <c r="D17" s="53"/>
      <c r="E17" s="218">
        <f>+E19/(1-D18)</f>
        <v>8.475886790413174</v>
      </c>
      <c r="F17" s="53"/>
      <c r="G17" s="218">
        <f>+G19/(1-F18)</f>
        <v>7.769562891212076</v>
      </c>
      <c r="H17" s="68"/>
      <c r="J17" s="31"/>
    </row>
    <row r="18" spans="1:7" ht="15">
      <c r="A18" s="65">
        <v>13</v>
      </c>
      <c r="B18" s="53" t="s">
        <v>202</v>
      </c>
      <c r="C18" s="65" t="s">
        <v>63</v>
      </c>
      <c r="D18" s="66">
        <v>0.45</v>
      </c>
      <c r="E18" s="218">
        <f>+E17-E19</f>
        <v>3.8141490556859283</v>
      </c>
      <c r="F18" s="66">
        <v>0.4</v>
      </c>
      <c r="G18" s="218">
        <f>+G17-G19</f>
        <v>3.1078251564848305</v>
      </c>
    </row>
    <row r="19" spans="1:7" ht="15">
      <c r="A19" s="65">
        <v>14</v>
      </c>
      <c r="B19" s="53" t="s">
        <v>203</v>
      </c>
      <c r="C19" s="65" t="s">
        <v>63</v>
      </c>
      <c r="D19" s="53"/>
      <c r="E19" s="220">
        <f>+'COGS Template'!E32</f>
        <v>4.661737734727246</v>
      </c>
      <c r="F19" s="53"/>
      <c r="G19" s="218">
        <f>+E19</f>
        <v>4.661737734727246</v>
      </c>
    </row>
    <row r="20" ht="15"/>
    <row r="21" spans="1:7" ht="15">
      <c r="A21" s="60">
        <v>15</v>
      </c>
      <c r="B21" s="38" t="s">
        <v>68</v>
      </c>
      <c r="C21" s="60" t="s">
        <v>62</v>
      </c>
      <c r="D21" s="38"/>
      <c r="E21" s="207">
        <f>+'Fixed Costs Template'!B20</f>
        <v>401.78999999999996</v>
      </c>
      <c r="F21" s="38"/>
      <c r="G21" s="207">
        <f>+E21</f>
        <v>401.78999999999996</v>
      </c>
    </row>
    <row r="22" spans="1:7" ht="15">
      <c r="A22" s="60">
        <v>16</v>
      </c>
      <c r="B22" s="38" t="s">
        <v>69</v>
      </c>
      <c r="C22" s="60" t="s">
        <v>62</v>
      </c>
      <c r="D22" s="38"/>
      <c r="E22" s="207">
        <f>+'Fixed Costs Template'!E20</f>
        <v>3085</v>
      </c>
      <c r="F22" s="38"/>
      <c r="G22" s="207">
        <f>+E22</f>
        <v>3085</v>
      </c>
    </row>
    <row r="23" spans="1:7" ht="15">
      <c r="A23" s="60">
        <v>17</v>
      </c>
      <c r="B23" s="38" t="s">
        <v>70</v>
      </c>
      <c r="C23" s="60" t="s">
        <v>62</v>
      </c>
      <c r="D23" s="38"/>
      <c r="E23" s="217">
        <v>2000</v>
      </c>
      <c r="F23" s="38"/>
      <c r="G23" s="207">
        <f>+E23</f>
        <v>2000</v>
      </c>
    </row>
    <row r="24" spans="1:7" ht="15">
      <c r="A24" s="60">
        <v>18</v>
      </c>
      <c r="B24" s="36" t="s">
        <v>71</v>
      </c>
      <c r="C24" s="60" t="s">
        <v>62</v>
      </c>
      <c r="D24" s="36"/>
      <c r="E24" s="221">
        <f>SUM(E21:E23)</f>
        <v>5486.79</v>
      </c>
      <c r="F24" s="38"/>
      <c r="G24" s="221">
        <f>SUM(G21:G23)</f>
        <v>5486.79</v>
      </c>
    </row>
    <row r="25" spans="1:7" ht="15">
      <c r="A25" s="189"/>
      <c r="B25" s="190"/>
      <c r="C25" s="190"/>
      <c r="D25" s="190"/>
      <c r="E25" s="190"/>
      <c r="F25" s="190"/>
      <c r="G25" s="191"/>
    </row>
    <row r="26" spans="2:8" ht="15">
      <c r="B26" s="192" t="s">
        <v>72</v>
      </c>
      <c r="C26" s="193"/>
      <c r="D26" s="194"/>
      <c r="E26" s="69" t="s">
        <v>204</v>
      </c>
      <c r="F26" s="69" t="s">
        <v>151</v>
      </c>
      <c r="G26" s="69" t="s">
        <v>205</v>
      </c>
      <c r="H26" s="69" t="str">
        <f>+F26</f>
        <v>Full GP%</v>
      </c>
    </row>
    <row r="27" spans="2:8" ht="15">
      <c r="B27" s="182" t="s">
        <v>73</v>
      </c>
      <c r="C27" s="182"/>
      <c r="D27" s="182"/>
      <c r="E27" s="222">
        <f>+E6</f>
        <v>16.55355135483734</v>
      </c>
      <c r="F27" s="70">
        <f>+(E27-$E$19)/E27</f>
        <v>0.7183844339622641</v>
      </c>
      <c r="G27" s="222">
        <f>+G6</f>
        <v>13.15087690967633</v>
      </c>
      <c r="H27" s="70">
        <f>+(G27-$E$19)/G27</f>
        <v>0.6455188679245284</v>
      </c>
    </row>
    <row r="28" spans="2:8" ht="15">
      <c r="B28" s="182" t="s">
        <v>74</v>
      </c>
      <c r="C28" s="182"/>
      <c r="D28" s="182"/>
      <c r="E28" s="222">
        <f>+E8</f>
        <v>10.75980838064427</v>
      </c>
      <c r="F28" s="70">
        <f aca="true" t="shared" si="0" ref="F28:H30">+(E28-$E$19)/E28</f>
        <v>0.566745283018868</v>
      </c>
      <c r="G28" s="222">
        <f>+G8</f>
        <v>9.863157682257247</v>
      </c>
      <c r="H28" s="70">
        <f t="shared" si="0"/>
        <v>0.5273584905660378</v>
      </c>
    </row>
    <row r="29" spans="2:8" ht="15">
      <c r="B29" s="182" t="s">
        <v>75</v>
      </c>
      <c r="C29" s="182"/>
      <c r="D29" s="182"/>
      <c r="E29" s="222">
        <f>+E17</f>
        <v>8.475886790413174</v>
      </c>
      <c r="F29" s="70">
        <f>+(E17-$E$19)/E17</f>
        <v>0.45</v>
      </c>
      <c r="G29" s="222">
        <f>+G17</f>
        <v>7.769562891212076</v>
      </c>
      <c r="H29" s="70">
        <f>+(G17-$E$19)/G17</f>
        <v>0.4</v>
      </c>
    </row>
    <row r="30" spans="2:8" ht="15">
      <c r="B30" s="182" t="s">
        <v>76</v>
      </c>
      <c r="C30" s="182"/>
      <c r="D30" s="182"/>
      <c r="E30" s="222">
        <f>+E17+E16</f>
        <v>8.98342492157564</v>
      </c>
      <c r="F30" s="70">
        <f t="shared" si="0"/>
        <v>0.4810734463276837</v>
      </c>
      <c r="G30" s="222">
        <f>+G17+G16</f>
        <v>8.234806178111002</v>
      </c>
      <c r="H30" s="70">
        <f t="shared" si="0"/>
        <v>0.4338983050847457</v>
      </c>
    </row>
    <row r="31" spans="5:7" ht="15">
      <c r="E31" s="77"/>
      <c r="G31" s="77"/>
    </row>
    <row r="32" spans="2:9" ht="15">
      <c r="B32" s="180" t="s">
        <v>77</v>
      </c>
      <c r="C32" s="180"/>
      <c r="D32" s="180"/>
      <c r="E32" s="78" t="s">
        <v>206</v>
      </c>
      <c r="F32" s="69" t="s">
        <v>78</v>
      </c>
      <c r="G32" s="69" t="s">
        <v>135</v>
      </c>
      <c r="H32" s="122" t="s">
        <v>79</v>
      </c>
      <c r="I32" s="71" t="s">
        <v>80</v>
      </c>
    </row>
    <row r="33" spans="2:9" ht="15">
      <c r="B33" s="182" t="s">
        <v>73</v>
      </c>
      <c r="C33" s="182"/>
      <c r="D33" s="183"/>
      <c r="E33" s="222">
        <f>+E27-$E$19</f>
        <v>11.891813620110092</v>
      </c>
      <c r="F33" s="72">
        <f>+$E$24/E33</f>
        <v>461.392195949099</v>
      </c>
      <c r="G33" s="72">
        <f>+F33/'COGS Template'!$F$14</f>
        <v>38.449349662424915</v>
      </c>
      <c r="H33" s="214">
        <f>+F33*E27</f>
        <v>7637.6794103645825</v>
      </c>
      <c r="I33" s="57">
        <v>1</v>
      </c>
    </row>
    <row r="34" spans="2:9" ht="15">
      <c r="B34" s="182" t="s">
        <v>74</v>
      </c>
      <c r="C34" s="182"/>
      <c r="D34" s="182"/>
      <c r="E34" s="222">
        <f>+E28-$E$19</f>
        <v>6.098070645917024</v>
      </c>
      <c r="F34" s="72">
        <f>+$E$24/E34</f>
        <v>899.7583528609482</v>
      </c>
      <c r="G34" s="72">
        <f>+F34/'COGS Template'!$F$14</f>
        <v>74.97986273841235</v>
      </c>
      <c r="H34" s="214">
        <f>+F34*E28</f>
        <v>9681.227465667915</v>
      </c>
      <c r="I34" s="57">
        <v>0</v>
      </c>
    </row>
    <row r="35" spans="2:9" ht="15">
      <c r="B35" s="182" t="s">
        <v>75</v>
      </c>
      <c r="C35" s="182"/>
      <c r="D35" s="182"/>
      <c r="E35" s="222">
        <f>+E18</f>
        <v>3.8141490556859283</v>
      </c>
      <c r="F35" s="72">
        <f>+$E$24/E18</f>
        <v>1438.5358096639113</v>
      </c>
      <c r="G35" s="72">
        <f>+F35/'COGS Template'!$F$14</f>
        <v>119.87798413865927</v>
      </c>
      <c r="H35" s="214">
        <f>+F35*E29</f>
        <v>12192.866666666667</v>
      </c>
      <c r="I35" s="57">
        <v>0</v>
      </c>
    </row>
    <row r="36" spans="2:9" ht="15">
      <c r="B36" s="184" t="s">
        <v>76</v>
      </c>
      <c r="C36" s="184"/>
      <c r="D36" s="184"/>
      <c r="E36" s="223">
        <f>+E30-$E$19</f>
        <v>4.321687186848394</v>
      </c>
      <c r="F36" s="73">
        <f>+$E$24/E36</f>
        <v>1269.5944344831819</v>
      </c>
      <c r="G36" s="72">
        <f>+F36/'COGS Template'!$F$14</f>
        <v>105.79953620693182</v>
      </c>
      <c r="H36" s="227">
        <f>+F36*E30</f>
        <v>11405.306283029948</v>
      </c>
      <c r="I36" s="85">
        <v>0</v>
      </c>
    </row>
    <row r="37" spans="2:9" ht="15">
      <c r="B37" s="157" t="s">
        <v>81</v>
      </c>
      <c r="C37" s="158"/>
      <c r="D37" s="166"/>
      <c r="E37" s="224">
        <f>+SUMPRODUCT(E33:E36,$I$33:$I$36)</f>
        <v>11.891813620110092</v>
      </c>
      <c r="F37" s="74">
        <f>+SUMPRODUCT(F33:F36,$I$33:$I$36)</f>
        <v>461.392195949099</v>
      </c>
      <c r="G37" s="125">
        <f>+F37/'COGS Template'!$F$14</f>
        <v>38.449349662424915</v>
      </c>
      <c r="H37" s="228">
        <f>+SUMPRODUCT(H33:H36,$I$33:$I$36)</f>
        <v>7637.6794103645825</v>
      </c>
      <c r="I37" s="86">
        <f>IF(SUM(I33:I36)&gt;1,"Error! Total too high!",SUM(I33:I36))</f>
        <v>1</v>
      </c>
    </row>
    <row r="38" spans="5:8" ht="15">
      <c r="E38" s="12"/>
      <c r="F38" s="12"/>
      <c r="G38" s="12"/>
      <c r="H38" s="123"/>
    </row>
    <row r="39" spans="2:8" ht="15">
      <c r="B39" s="180" t="s">
        <v>82</v>
      </c>
      <c r="C39" s="180"/>
      <c r="D39" s="180"/>
      <c r="E39" s="69" t="s">
        <v>206</v>
      </c>
      <c r="F39" s="69" t="s">
        <v>78</v>
      </c>
      <c r="G39" s="69" t="str">
        <f>+G32</f>
        <v>B/E cases</v>
      </c>
      <c r="H39" s="47" t="s">
        <v>79</v>
      </c>
    </row>
    <row r="40" spans="2:8" ht="15">
      <c r="B40" s="182" t="s">
        <v>73</v>
      </c>
      <c r="C40" s="182"/>
      <c r="D40" s="183"/>
      <c r="E40" s="222">
        <f>+G27-$G$19</f>
        <v>8.489139174949084</v>
      </c>
      <c r="F40" s="72">
        <f>+$G$24/E40</f>
        <v>646.330550945751</v>
      </c>
      <c r="G40" s="72">
        <f>+F40/'COGS Template'!$F$14</f>
        <v>53.86087924547925</v>
      </c>
      <c r="H40" s="214">
        <f>+F40*G27</f>
        <v>8499.813518450857</v>
      </c>
    </row>
    <row r="41" spans="2:8" ht="15">
      <c r="B41" s="182" t="s">
        <v>74</v>
      </c>
      <c r="C41" s="182"/>
      <c r="D41" s="183"/>
      <c r="E41" s="222">
        <f>+G28-$G$19</f>
        <v>5.201419947530002</v>
      </c>
      <c r="F41" s="72">
        <f>+$G$24/E41</f>
        <v>1054.863874739726</v>
      </c>
      <c r="G41" s="72">
        <f>+F41/'COGS Template'!$F$14</f>
        <v>87.90532289497717</v>
      </c>
      <c r="H41" s="214">
        <f>+F41*G28</f>
        <v>10404.288729874776</v>
      </c>
    </row>
    <row r="42" spans="2:8" ht="15">
      <c r="B42" s="182" t="s">
        <v>75</v>
      </c>
      <c r="C42" s="182"/>
      <c r="D42" s="183"/>
      <c r="E42" s="222">
        <f>+G29-$G$19</f>
        <v>3.1078251564848305</v>
      </c>
      <c r="F42" s="72">
        <f>+$G$24/G18</f>
        <v>1765.4757664057095</v>
      </c>
      <c r="G42" s="72">
        <f>+F42/'COGS Template'!$F$14</f>
        <v>147.1229805338091</v>
      </c>
      <c r="H42" s="214">
        <f>+F42*G29</f>
        <v>13716.975</v>
      </c>
    </row>
    <row r="43" spans="2:8" ht="15">
      <c r="B43" s="182" t="s">
        <v>76</v>
      </c>
      <c r="C43" s="182"/>
      <c r="D43" s="183"/>
      <c r="E43" s="222">
        <f>+G30-$G$19</f>
        <v>3.5730684433837565</v>
      </c>
      <c r="F43" s="72">
        <f>+$G$24/E43</f>
        <v>1535.596109321633</v>
      </c>
      <c r="G43" s="72">
        <f>+F43/'COGS Template'!$F$14</f>
        <v>127.96634244346943</v>
      </c>
      <c r="H43" s="214">
        <f>+F43*G30</f>
        <v>12645.336328125002</v>
      </c>
    </row>
    <row r="44" spans="2:8" ht="15">
      <c r="B44" s="157" t="s">
        <v>81</v>
      </c>
      <c r="C44" s="158"/>
      <c r="D44" s="166"/>
      <c r="E44" s="224">
        <f>+SUMPRODUCT(E40:E43,$I$33:$I$36)</f>
        <v>8.489139174949084</v>
      </c>
      <c r="F44" s="74">
        <f>+SUMPRODUCT(F40:F43,$I$33:$I$36)</f>
        <v>646.330550945751</v>
      </c>
      <c r="G44" s="125">
        <f>+F44/'COGS Template'!$F$14</f>
        <v>53.86087924547925</v>
      </c>
      <c r="H44" s="228">
        <f>+SUMPRODUCT(H40:H43,$I$33:$I$36)</f>
        <v>8499.813518450857</v>
      </c>
    </row>
  </sheetData>
  <sheetProtection/>
  <mergeCells count="21">
    <mergeCell ref="B29:D29"/>
    <mergeCell ref="B37:D37"/>
    <mergeCell ref="B44:D44"/>
    <mergeCell ref="H4:I13"/>
    <mergeCell ref="B33:D33"/>
    <mergeCell ref="D4:E4"/>
    <mergeCell ref="F4:G4"/>
    <mergeCell ref="A25:G25"/>
    <mergeCell ref="B26:D26"/>
    <mergeCell ref="B27:D27"/>
    <mergeCell ref="B28:D28"/>
    <mergeCell ref="B39:D39"/>
    <mergeCell ref="B30:D30"/>
    <mergeCell ref="B32:D32"/>
    <mergeCell ref="B41:D41"/>
    <mergeCell ref="B42:D42"/>
    <mergeCell ref="B43:D43"/>
    <mergeCell ref="B40:D40"/>
    <mergeCell ref="B34:D34"/>
    <mergeCell ref="B35:D35"/>
    <mergeCell ref="B36:D36"/>
  </mergeCells>
  <printOptions/>
  <pageMargins left="0.1968503937007874" right="0.1968503937007874" top="0.5511811023622047" bottom="0.5511811023622047" header="0.31496062992125984" footer="0.31496062992125984"/>
  <pageSetup horizontalDpi="600" verticalDpi="600" orientation="portrait" r:id="rId3"/>
  <ignoredErrors>
    <ignoredError sqref="G37 E35:F35 F27:F30 G29:H29 F9:F10 F12:F16 G27:G28 G30 F42" formula="1"/>
  </ignoredErrors>
  <legacyDrawing r:id="rId2"/>
</worksheet>
</file>

<file path=xl/worksheets/sheet5.xml><?xml version="1.0" encoding="utf-8"?>
<worksheet xmlns="http://schemas.openxmlformats.org/spreadsheetml/2006/main" xmlns:r="http://schemas.openxmlformats.org/officeDocument/2006/relationships">
  <dimension ref="A1:AG81"/>
  <sheetViews>
    <sheetView zoomScalePageLayoutView="0" workbookViewId="0" topLeftCell="S1">
      <selection activeCell="AD3" sqref="AD3"/>
    </sheetView>
  </sheetViews>
  <sheetFormatPr defaultColWidth="9.140625" defaultRowHeight="15"/>
  <cols>
    <col min="1" max="1" width="14.28125" style="0" customWidth="1"/>
    <col min="3" max="4" width="8.8515625" style="12" customWidth="1"/>
    <col min="6" max="6" width="8.8515625" style="12" customWidth="1"/>
    <col min="8" max="8" width="10.28125" style="0" customWidth="1"/>
    <col min="16" max="16" width="9.421875" style="0" bestFit="1" customWidth="1"/>
    <col min="20" max="20" width="13.7109375" style="0" bestFit="1" customWidth="1"/>
    <col min="21" max="26" width="8.8515625" style="12" customWidth="1"/>
    <col min="27" max="27" width="8.8515625" style="14" customWidth="1"/>
  </cols>
  <sheetData>
    <row r="1" spans="15:27" ht="15">
      <c r="O1" t="s">
        <v>9</v>
      </c>
      <c r="T1" s="21" t="s">
        <v>16</v>
      </c>
      <c r="U1" s="34"/>
      <c r="V1" s="34"/>
      <c r="W1" s="34"/>
      <c r="X1" s="34"/>
      <c r="Y1" s="34"/>
      <c r="Z1" s="34"/>
      <c r="AA1" s="22"/>
    </row>
    <row r="2" spans="1:31" ht="15">
      <c r="A2" t="s">
        <v>96</v>
      </c>
      <c r="C2" s="12" t="s">
        <v>1</v>
      </c>
      <c r="D2" s="12" t="s">
        <v>85</v>
      </c>
      <c r="F2" s="12" t="s">
        <v>105</v>
      </c>
      <c r="G2" s="84" t="s">
        <v>106</v>
      </c>
      <c r="H2" s="12" t="s">
        <v>107</v>
      </c>
      <c r="I2" s="84" t="s">
        <v>108</v>
      </c>
      <c r="N2" s="13" t="s">
        <v>13</v>
      </c>
      <c r="O2" s="13" t="s">
        <v>10</v>
      </c>
      <c r="P2" s="13" t="s">
        <v>11</v>
      </c>
      <c r="Q2" s="13" t="s">
        <v>12</v>
      </c>
      <c r="R2" s="13" t="s">
        <v>115</v>
      </c>
      <c r="T2" s="13" t="s">
        <v>24</v>
      </c>
      <c r="U2" s="13" t="s">
        <v>18</v>
      </c>
      <c r="V2" s="13" t="s">
        <v>19</v>
      </c>
      <c r="W2" s="13" t="s">
        <v>20</v>
      </c>
      <c r="X2" s="13" t="s">
        <v>21</v>
      </c>
      <c r="Y2" s="13" t="s">
        <v>113</v>
      </c>
      <c r="Z2" s="13" t="s">
        <v>22</v>
      </c>
      <c r="AC2" s="13" t="s">
        <v>23</v>
      </c>
      <c r="AD2" s="80" t="s">
        <v>86</v>
      </c>
      <c r="AE2" s="80" t="s">
        <v>87</v>
      </c>
    </row>
    <row r="3" spans="1:31" ht="15">
      <c r="A3" t="s">
        <v>104</v>
      </c>
      <c r="B3" t="s">
        <v>85</v>
      </c>
      <c r="C3" s="12">
        <v>2.2</v>
      </c>
      <c r="D3" s="12">
        <v>1</v>
      </c>
      <c r="F3" s="144">
        <v>1</v>
      </c>
      <c r="G3" s="145">
        <f aca="true" t="shared" si="0" ref="G3:G8">IF($N$7=2,INDEX($C$3:$C$11,F3),INDEX($D$3:$D$11,F3))</f>
        <v>2.2</v>
      </c>
      <c r="H3" s="146">
        <f>IF(ISERR(AE3/'work area'!G3*'Food Cost'!C63),0,AE3/'work area'!G3*'Food Cost'!C63)</f>
        <v>100.22727272727272</v>
      </c>
      <c r="I3" s="147">
        <f aca="true" t="shared" si="1" ref="I3:I8">IF(ISERR(H3/AE3),0,H3/AE3)</f>
        <v>95.45454545454544</v>
      </c>
      <c r="N3">
        <f>+IF($N$7=1,N9,N10)</f>
        <v>0.45359290943563974</v>
      </c>
      <c r="O3">
        <f>+IF($N$7=1,O9,O10)</f>
        <v>1</v>
      </c>
      <c r="P3">
        <f>+IF($N$7=1,P9,P10)</f>
        <v>3.7854</v>
      </c>
      <c r="Q3">
        <f>+IF($N$7=1,Q9,Q10)</f>
        <v>1</v>
      </c>
      <c r="R3">
        <v>1</v>
      </c>
      <c r="T3" s="1">
        <f>+'Food Cost'!B3/IF(AA3&gt;0,AA3,1)</f>
        <v>1.05</v>
      </c>
      <c r="U3" s="12">
        <f>IF('Food Cost'!D3="x",1,0)</f>
        <v>0</v>
      </c>
      <c r="V3" s="12">
        <f>IF('Food Cost'!E3="x",1,0)</f>
        <v>1</v>
      </c>
      <c r="W3" s="12">
        <f>IF('Food Cost'!F3="x",1,0)</f>
        <v>0</v>
      </c>
      <c r="X3" s="12">
        <f>IF('Food Cost'!G3="x",1,0)</f>
        <v>0</v>
      </c>
      <c r="Y3" s="12">
        <f>IF('Food Cost'!H3="x",1,0)</f>
        <v>0</v>
      </c>
      <c r="Z3" s="12">
        <f>+U3*1+V3*2+W3*3+X3*4+Y3*5</f>
        <v>2</v>
      </c>
      <c r="AA3" s="14">
        <f>+'Food Cost'!$C3*SUMPRODUCT($N$3:$R$3,$U3:$Y3)</f>
        <v>20</v>
      </c>
      <c r="AB3" s="31">
        <f>IF('Food Cost'!C3&gt;0,AA3/'Food Cost'!C3,0)</f>
        <v>1</v>
      </c>
      <c r="AC3" s="33">
        <f>+'Food Cost'!C33</f>
        <v>1</v>
      </c>
      <c r="AD3" s="31">
        <f aca="true" t="shared" si="2" ref="AD3:AD17">+AC3*AA3</f>
        <v>20</v>
      </c>
      <c r="AE3" s="31">
        <f>IF(AD3&gt;0,'Food Cost'!B3/AD3,0)</f>
        <v>1.05</v>
      </c>
    </row>
    <row r="4" spans="1:31" ht="15">
      <c r="A4" t="s">
        <v>95</v>
      </c>
      <c r="B4" t="s">
        <v>1</v>
      </c>
      <c r="C4" s="12">
        <v>1</v>
      </c>
      <c r="D4" s="12">
        <f>1/C3</f>
        <v>0.45454545454545453</v>
      </c>
      <c r="F4" s="144">
        <v>1</v>
      </c>
      <c r="G4" s="145">
        <f t="shared" si="0"/>
        <v>2.2</v>
      </c>
      <c r="H4" s="146">
        <f>IF(ISERR(AE4/'work area'!G4*'Food Cost'!C64),0,AE4/'work area'!G4*'Food Cost'!C64)</f>
        <v>57.871275</v>
      </c>
      <c r="I4" s="147">
        <f t="shared" si="1"/>
        <v>47.72727272727273</v>
      </c>
      <c r="T4" s="1">
        <f>+'Food Cost'!B4/IF(AA4&gt;0,AA4,1)</f>
        <v>1.2125409999999999</v>
      </c>
      <c r="U4" s="12">
        <f>IF('Food Cost'!D4="x",1,0)</f>
        <v>1</v>
      </c>
      <c r="V4" s="12">
        <f>IF('Food Cost'!E4="x",1,0)</f>
        <v>0</v>
      </c>
      <c r="W4" s="12">
        <f>IF('Food Cost'!F4="x",1,0)</f>
        <v>0</v>
      </c>
      <c r="X4" s="12">
        <f>IF('Food Cost'!G4="x",1,0)</f>
        <v>0</v>
      </c>
      <c r="Y4" s="12">
        <f>IF('Food Cost'!H4="x",1,0)</f>
        <v>0</v>
      </c>
      <c r="Z4" s="12">
        <f aca="true" t="shared" si="3" ref="Z4:Z17">+U4*1+V4*2+W4*3+X4*4+Y4*5</f>
        <v>1</v>
      </c>
      <c r="AA4" s="14">
        <f>+'Food Cost'!$C4*SUMPRODUCT($N$3:$R$3,$U4:$Y4)</f>
        <v>18.14371637742559</v>
      </c>
      <c r="AB4" s="31">
        <f>IF('Food Cost'!C4&gt;0,AA4/'Food Cost'!C4,0)</f>
        <v>0.4535929094356398</v>
      </c>
      <c r="AC4" s="33">
        <f>+'Food Cost'!C34</f>
        <v>1</v>
      </c>
      <c r="AD4" s="31">
        <f t="shared" si="2"/>
        <v>18.14371637742559</v>
      </c>
      <c r="AE4" s="31">
        <f>IF(AD4&gt;0,'Food Cost'!B4/AD4,0)</f>
        <v>1.2125409999999999</v>
      </c>
    </row>
    <row r="5" spans="1:31" ht="15">
      <c r="A5" t="s">
        <v>97</v>
      </c>
      <c r="B5" t="s">
        <v>21</v>
      </c>
      <c r="C5" s="12">
        <v>1</v>
      </c>
      <c r="D5" s="12">
        <v>2.2</v>
      </c>
      <c r="F5" s="144">
        <v>1</v>
      </c>
      <c r="G5" s="145">
        <f t="shared" si="0"/>
        <v>2.2</v>
      </c>
      <c r="H5" s="146">
        <f>IF(ISERR(AE5/'work area'!G5*'Food Cost'!C65),0,AE5/'work area'!G5*'Food Cost'!C65)</f>
        <v>145.3045</v>
      </c>
      <c r="I5" s="147">
        <f t="shared" si="1"/>
        <v>20.454545454545453</v>
      </c>
      <c r="N5" t="s">
        <v>85</v>
      </c>
      <c r="T5" s="1">
        <f>+'Food Cost'!B5/IF(AA5&gt;0,AA5,1)</f>
        <v>7.103775555555555</v>
      </c>
      <c r="U5" s="12">
        <f>IF('Food Cost'!D5="x",1,0)</f>
        <v>1</v>
      </c>
      <c r="V5" s="12">
        <f>IF('Food Cost'!E5="x",1,0)</f>
        <v>0</v>
      </c>
      <c r="W5" s="12">
        <f>IF('Food Cost'!F5="x",1,0)</f>
        <v>0</v>
      </c>
      <c r="X5" s="12">
        <f>IF('Food Cost'!G5="x",1,0)</f>
        <v>0</v>
      </c>
      <c r="Y5" s="12">
        <f>IF('Food Cost'!H5="x",1,0)</f>
        <v>0</v>
      </c>
      <c r="Z5" s="12">
        <f t="shared" si="3"/>
        <v>1</v>
      </c>
      <c r="AA5" s="14">
        <f>+'Food Cost'!$C5*SUMPRODUCT($N$3:$R$3,$U5:$Y5)</f>
        <v>8.164672369841515</v>
      </c>
      <c r="AB5" s="31">
        <f>IF('Food Cost'!C5&gt;0,AA5/'Food Cost'!C5,0)</f>
        <v>0.45359290943563974</v>
      </c>
      <c r="AC5" s="33">
        <f>+'Food Cost'!C35</f>
        <v>1</v>
      </c>
      <c r="AD5" s="31">
        <f t="shared" si="2"/>
        <v>8.164672369841515</v>
      </c>
      <c r="AE5" s="31">
        <f>IF(AD5&gt;0,'Food Cost'!B5/AD5,0)</f>
        <v>7.103775555555555</v>
      </c>
    </row>
    <row r="6" spans="1:31" ht="15">
      <c r="A6" t="s">
        <v>98</v>
      </c>
      <c r="B6" t="s">
        <v>90</v>
      </c>
      <c r="C6" s="12">
        <v>100</v>
      </c>
      <c r="D6" s="12">
        <v>2200</v>
      </c>
      <c r="F6" s="144">
        <v>2</v>
      </c>
      <c r="G6" s="145">
        <f t="shared" si="0"/>
        <v>1</v>
      </c>
      <c r="H6" s="146">
        <f>IF(ISERR(AE6/'work area'!G6*'Food Cost'!C66),0,AE6/'work area'!G6*'Food Cost'!C66)</f>
        <v>1.26</v>
      </c>
      <c r="I6" s="147">
        <f t="shared" si="1"/>
        <v>2.1</v>
      </c>
      <c r="N6" t="s">
        <v>1</v>
      </c>
      <c r="T6" s="1">
        <f>+'Food Cost'!B6/IF(AA6&gt;0,AA6,1)</f>
        <v>0.6</v>
      </c>
      <c r="U6" s="12">
        <f>IF('Food Cost'!D6="x",1,0)</f>
        <v>0</v>
      </c>
      <c r="V6" s="12">
        <f>IF('Food Cost'!E6="x",1,0)</f>
        <v>1</v>
      </c>
      <c r="W6" s="12">
        <f>IF('Food Cost'!F6="x",1,0)</f>
        <v>0</v>
      </c>
      <c r="X6" s="12">
        <f>IF('Food Cost'!G6="x",1,0)</f>
        <v>0</v>
      </c>
      <c r="Y6" s="12">
        <f>IF('Food Cost'!H6="x",1,0)</f>
        <v>0</v>
      </c>
      <c r="Z6" s="12">
        <f t="shared" si="3"/>
        <v>2</v>
      </c>
      <c r="AA6" s="14">
        <f>+'Food Cost'!$C6*SUMPRODUCT($N$3:$R$3,$U6:$Y6)</f>
        <v>10</v>
      </c>
      <c r="AB6" s="31">
        <f>IF('Food Cost'!C6&gt;0,AA6/'Food Cost'!C6,0)</f>
        <v>1</v>
      </c>
      <c r="AC6" s="33">
        <f>+'Food Cost'!C36</f>
        <v>1</v>
      </c>
      <c r="AD6" s="31">
        <f t="shared" si="2"/>
        <v>10</v>
      </c>
      <c r="AE6" s="31">
        <f>IF(AD6&gt;0,'Food Cost'!B6/AD6,0)</f>
        <v>0.6</v>
      </c>
    </row>
    <row r="7" spans="1:31" ht="15">
      <c r="A7" t="s">
        <v>99</v>
      </c>
      <c r="B7" t="s">
        <v>91</v>
      </c>
      <c r="C7" s="12">
        <v>35.274</v>
      </c>
      <c r="D7" s="12">
        <v>16</v>
      </c>
      <c r="F7" s="144">
        <v>3</v>
      </c>
      <c r="G7" s="145">
        <f t="shared" si="0"/>
        <v>1</v>
      </c>
      <c r="H7" s="146">
        <f>IF(ISERR(AE7/'work area'!G7*'Food Cost'!C67),0,AE7/'work area'!G7*'Food Cost'!C67)</f>
        <v>10.450000000000001</v>
      </c>
      <c r="I7" s="147">
        <f t="shared" si="1"/>
        <v>2.2</v>
      </c>
      <c r="N7">
        <v>2</v>
      </c>
      <c r="T7" s="1">
        <f>+'Food Cost'!B7/IF(AA7&gt;0,AA7,1)</f>
        <v>4.75</v>
      </c>
      <c r="U7" s="12">
        <f>IF('Food Cost'!D7="x",1,0)</f>
        <v>0</v>
      </c>
      <c r="V7" s="12">
        <f>IF('Food Cost'!E7="x",1,0)</f>
        <v>0</v>
      </c>
      <c r="W7" s="12">
        <f>IF('Food Cost'!F7="x",1,0)</f>
        <v>0</v>
      </c>
      <c r="X7" s="12">
        <f>IF('Food Cost'!G7="x",1,0)</f>
        <v>1</v>
      </c>
      <c r="Y7" s="12">
        <f>IF('Food Cost'!H7="x",1,0)</f>
        <v>0</v>
      </c>
      <c r="Z7" s="12">
        <f t="shared" si="3"/>
        <v>4</v>
      </c>
      <c r="AA7" s="14">
        <f>+'Food Cost'!$C7*SUMPRODUCT($N$3:$R$3,$U7:$Y7)</f>
        <v>4</v>
      </c>
      <c r="AB7" s="31">
        <f>IF('Food Cost'!C7&gt;0,AA7/'Food Cost'!C7,0)</f>
        <v>1</v>
      </c>
      <c r="AC7" s="33">
        <f>+'Food Cost'!C37</f>
        <v>1</v>
      </c>
      <c r="AD7" s="31">
        <f t="shared" si="2"/>
        <v>4</v>
      </c>
      <c r="AE7" s="31">
        <f>IF(AD7&gt;0,'Food Cost'!B7/AD7,0)</f>
        <v>4.75</v>
      </c>
    </row>
    <row r="8" spans="1:31" ht="15">
      <c r="A8" t="s">
        <v>100</v>
      </c>
      <c r="B8" t="s">
        <v>92</v>
      </c>
      <c r="C8" s="12">
        <v>7.7</v>
      </c>
      <c r="D8" s="12">
        <v>3.49</v>
      </c>
      <c r="F8" s="144">
        <v>6</v>
      </c>
      <c r="G8" s="145">
        <f t="shared" si="0"/>
        <v>7.7</v>
      </c>
      <c r="H8" s="146">
        <f>IF(ISERR(AE8/'work area'!G8*'Food Cost'!C68),0,AE8/'work area'!G8*'Food Cost'!C68)</f>
        <v>2.1818181818181817</v>
      </c>
      <c r="I8" s="147">
        <f t="shared" si="1"/>
        <v>0.19480519480519481</v>
      </c>
      <c r="N8" t="str">
        <f>CHOOSE(N7,N5,N6)</f>
        <v>Kg</v>
      </c>
      <c r="T8" s="1">
        <f>+'Food Cost'!B8/IF(AA8&gt;0,AA8,1)</f>
        <v>11.2</v>
      </c>
      <c r="U8" s="12">
        <f>IF('Food Cost'!D8="x",1,0)</f>
        <v>0</v>
      </c>
      <c r="V8" s="12">
        <f>IF('Food Cost'!E8="x",1,0)</f>
        <v>1</v>
      </c>
      <c r="W8" s="12">
        <f>IF('Food Cost'!F8="x",1,0)</f>
        <v>0</v>
      </c>
      <c r="X8" s="12">
        <f>IF('Food Cost'!G8="x",1,0)</f>
        <v>0</v>
      </c>
      <c r="Y8" s="12">
        <f>IF('Food Cost'!H8="x",1,0)</f>
        <v>0</v>
      </c>
      <c r="Z8" s="12">
        <f t="shared" si="3"/>
        <v>2</v>
      </c>
      <c r="AA8" s="14">
        <f>+'Food Cost'!$C8*SUMPRODUCT($N$3:$R$3,$U8:$Y8)</f>
        <v>2.5</v>
      </c>
      <c r="AB8" s="31">
        <f>IF('Food Cost'!C8&gt;0,AA8/'Food Cost'!C8,0)</f>
        <v>1</v>
      </c>
      <c r="AC8" s="33">
        <f>+'Food Cost'!C38</f>
        <v>1</v>
      </c>
      <c r="AD8" s="31">
        <f t="shared" si="2"/>
        <v>2.5</v>
      </c>
      <c r="AE8" s="31">
        <f>IF(AD8&gt;0,'Food Cost'!B8/AD8,0)</f>
        <v>11.2</v>
      </c>
    </row>
    <row r="9" spans="1:31" ht="15">
      <c r="A9" t="s">
        <v>101</v>
      </c>
      <c r="B9" t="s">
        <v>93</v>
      </c>
      <c r="C9" s="12">
        <v>175</v>
      </c>
      <c r="D9" s="12">
        <v>79.75</v>
      </c>
      <c r="F9" s="144">
        <v>2</v>
      </c>
      <c r="G9" s="145">
        <f aca="true" t="shared" si="4" ref="G9:G30">IF($N$7=2,INDEX($C$3:$C$11,F9),INDEX($D$3:$D$11,F9))</f>
        <v>1</v>
      </c>
      <c r="H9" s="146">
        <f>IF(ISERR(AE9/'work area'!G9*'Food Cost'!C69),0,AE9/'work area'!G9*'Food Cost'!C69)</f>
        <v>346.35999131164766</v>
      </c>
      <c r="I9" s="147">
        <f aca="true" t="shared" si="5" ref="I9:I30">IF(ISERR(H9/AE9),0,H9/AE9)</f>
        <v>59</v>
      </c>
      <c r="N9">
        <v>1</v>
      </c>
      <c r="O9">
        <v>2.20462</v>
      </c>
      <c r="P9">
        <v>8.345406</v>
      </c>
      <c r="Q9">
        <v>2.2045855379</v>
      </c>
      <c r="R9">
        <v>1</v>
      </c>
      <c r="T9" s="1">
        <f>+'Food Cost'!B9/IF(AA9&gt;0,AA9,1)</f>
        <v>5.283457494584456</v>
      </c>
      <c r="U9" s="12">
        <f>IF('Food Cost'!D9="x",1,0)</f>
        <v>0</v>
      </c>
      <c r="V9" s="12">
        <f>IF('Food Cost'!E9="x",1,0)</f>
        <v>0</v>
      </c>
      <c r="W9" s="12">
        <f>IF('Food Cost'!F9="x",1,0)</f>
        <v>1</v>
      </c>
      <c r="X9" s="12">
        <f>IF('Food Cost'!G9="x",1,0)</f>
        <v>0</v>
      </c>
      <c r="Y9" s="12">
        <f>IF('Food Cost'!H9="x",1,0)</f>
        <v>0</v>
      </c>
      <c r="Z9" s="12">
        <f t="shared" si="3"/>
        <v>3</v>
      </c>
      <c r="AA9" s="14">
        <f>+'Food Cost'!$C9*SUMPRODUCT($N$3:$R$3,$U9:$Y9)</f>
        <v>3.7854</v>
      </c>
      <c r="AB9" s="31">
        <f>IF('Food Cost'!C9&gt;0,AA9/'Food Cost'!C9,0)</f>
        <v>3.7854</v>
      </c>
      <c r="AC9" s="33">
        <f>+'Food Cost'!C39</f>
        <v>0.9</v>
      </c>
      <c r="AD9" s="31">
        <f t="shared" si="2"/>
        <v>3.40686</v>
      </c>
      <c r="AE9" s="31">
        <f>IF(AD9&gt;0,'Food Cost'!B9/AD9,0)</f>
        <v>5.870508327316062</v>
      </c>
    </row>
    <row r="10" spans="1:31" ht="15">
      <c r="A10" t="s">
        <v>102</v>
      </c>
      <c r="B10" t="s">
        <v>94</v>
      </c>
      <c r="C10" s="12">
        <v>67.57</v>
      </c>
      <c r="D10" s="12">
        <v>30.67</v>
      </c>
      <c r="F10" s="144">
        <v>9</v>
      </c>
      <c r="G10" s="145">
        <f t="shared" si="4"/>
        <v>1</v>
      </c>
      <c r="H10" s="146">
        <f>IF(ISERR(AE10/'work area'!G10*'Food Cost'!C70),0,AE10/'work area'!G10*'Food Cost'!C70)</f>
        <v>4.81</v>
      </c>
      <c r="I10" s="147">
        <f t="shared" si="5"/>
        <v>185</v>
      </c>
      <c r="N10">
        <v>0.45359290943563974</v>
      </c>
      <c r="O10">
        <v>1</v>
      </c>
      <c r="P10">
        <v>3.7854</v>
      </c>
      <c r="Q10">
        <v>1</v>
      </c>
      <c r="R10">
        <v>1</v>
      </c>
      <c r="T10" s="1">
        <f>+'Food Cost'!B10/IF(AA10&gt;0,AA10,1)</f>
        <v>0.026</v>
      </c>
      <c r="U10" s="12">
        <f>IF('Food Cost'!D10="x",1,0)</f>
        <v>0</v>
      </c>
      <c r="V10" s="12">
        <f>IF('Food Cost'!E10="x",1,0)</f>
        <v>0</v>
      </c>
      <c r="W10" s="12">
        <f>IF('Food Cost'!F10="x",1,0)</f>
        <v>0</v>
      </c>
      <c r="X10" s="12">
        <f>IF('Food Cost'!G10="x",1,0)</f>
        <v>0</v>
      </c>
      <c r="Y10" s="12">
        <f>IF('Food Cost'!H10="x",1,0)</f>
        <v>1</v>
      </c>
      <c r="Z10" s="12">
        <f t="shared" si="3"/>
        <v>5</v>
      </c>
      <c r="AA10" s="14">
        <f>+'Food Cost'!$C10*SUMPRODUCT($N$3:$R$3,$U10:$Y10)</f>
        <v>500</v>
      </c>
      <c r="AB10" s="31">
        <f>IF('Food Cost'!C10&gt;0,AA10/'Food Cost'!C10,0)</f>
        <v>1</v>
      </c>
      <c r="AC10" s="33">
        <f>+'Food Cost'!C40</f>
        <v>1</v>
      </c>
      <c r="AD10" s="31">
        <f t="shared" si="2"/>
        <v>500</v>
      </c>
      <c r="AE10" s="31">
        <f>IF(AD10&gt;0,'Food Cost'!B10/AD10,0)</f>
        <v>0.026</v>
      </c>
    </row>
    <row r="11" spans="2:31" ht="15">
      <c r="B11" t="s">
        <v>113</v>
      </c>
      <c r="C11" s="12">
        <v>1</v>
      </c>
      <c r="D11" s="12">
        <v>1</v>
      </c>
      <c r="F11" s="144">
        <v>9</v>
      </c>
      <c r="G11" s="145">
        <f t="shared" si="4"/>
        <v>1</v>
      </c>
      <c r="H11" s="146">
        <f>IF(ISERR(AE11/'work area'!G11*'Food Cost'!C71),0,AE11/'work area'!G11*'Food Cost'!C71)</f>
        <v>0</v>
      </c>
      <c r="I11" s="147">
        <f t="shared" si="5"/>
        <v>0</v>
      </c>
      <c r="T11" s="1">
        <f>+'Food Cost'!B11/IF(AA11&gt;0,AA11,1)</f>
        <v>0</v>
      </c>
      <c r="U11" s="12">
        <f>IF('Food Cost'!D11="x",1,0)</f>
        <v>0</v>
      </c>
      <c r="V11" s="12">
        <f>IF('Food Cost'!E11="x",1,0)</f>
        <v>0</v>
      </c>
      <c r="W11" s="12">
        <f>IF('Food Cost'!F11="x",1,0)</f>
        <v>0</v>
      </c>
      <c r="X11" s="12">
        <f>IF('Food Cost'!G11="x",1,0)</f>
        <v>0</v>
      </c>
      <c r="Y11" s="12">
        <f>IF('Food Cost'!H11="x",1,0)</f>
        <v>0</v>
      </c>
      <c r="Z11" s="12">
        <f t="shared" si="3"/>
        <v>0</v>
      </c>
      <c r="AA11" s="14">
        <f>+'Food Cost'!$C11*SUMPRODUCT($N$3:$R$3,$U11:$Y11)</f>
        <v>0</v>
      </c>
      <c r="AB11" s="31">
        <f>IF('Food Cost'!C11&gt;0,AA11/'Food Cost'!C11,0)</f>
        <v>0</v>
      </c>
      <c r="AC11" s="33">
        <f>+'Food Cost'!C41</f>
        <v>0</v>
      </c>
      <c r="AD11" s="31">
        <f t="shared" si="2"/>
        <v>0</v>
      </c>
      <c r="AE11" s="31">
        <f>IF(AD11&gt;0,'Food Cost'!B11/AD11,0)</f>
        <v>0</v>
      </c>
    </row>
    <row r="12" spans="6:31" ht="15">
      <c r="F12" s="144">
        <v>0</v>
      </c>
      <c r="G12" s="145" t="e">
        <f t="shared" si="4"/>
        <v>#VALUE!</v>
      </c>
      <c r="H12" s="146">
        <f>IF(ISERR(AE12/'work area'!G12*'Food Cost'!C72),0,AE12/'work area'!G12*'Food Cost'!C72)</f>
        <v>0</v>
      </c>
      <c r="I12" s="147">
        <f t="shared" si="5"/>
        <v>0</v>
      </c>
      <c r="T12" s="1">
        <f>+'Food Cost'!B12/IF(AA12&gt;0,AA12,1)</f>
        <v>0</v>
      </c>
      <c r="U12" s="12">
        <f>IF('Food Cost'!D12="x",1,0)</f>
        <v>0</v>
      </c>
      <c r="V12" s="12">
        <f>IF('Food Cost'!E12="x",1,0)</f>
        <v>0</v>
      </c>
      <c r="W12" s="12">
        <f>IF('Food Cost'!F12="x",1,0)</f>
        <v>0</v>
      </c>
      <c r="X12" s="12">
        <f>IF('Food Cost'!G12="x",1,0)</f>
        <v>0</v>
      </c>
      <c r="Y12" s="12">
        <f>IF('Food Cost'!H12="x",1,0)</f>
        <v>0</v>
      </c>
      <c r="Z12" s="12">
        <f t="shared" si="3"/>
        <v>0</v>
      </c>
      <c r="AA12" s="14">
        <f>+'Food Cost'!$C12*SUMPRODUCT($N$3:$R$3,$U12:$Y12)</f>
        <v>0</v>
      </c>
      <c r="AB12" s="31">
        <f>IF('Food Cost'!C12&gt;0,AA12/'Food Cost'!C12,0)</f>
        <v>0</v>
      </c>
      <c r="AC12" s="33">
        <f>+'Food Cost'!C42</f>
        <v>0</v>
      </c>
      <c r="AD12" s="31">
        <f t="shared" si="2"/>
        <v>0</v>
      </c>
      <c r="AE12" s="31">
        <f>IF(AD12&gt;0,'Food Cost'!B12/AD12,0)</f>
        <v>0</v>
      </c>
    </row>
    <row r="13" spans="6:31" ht="15">
      <c r="F13" s="144">
        <v>0</v>
      </c>
      <c r="G13" s="145" t="e">
        <f t="shared" si="4"/>
        <v>#VALUE!</v>
      </c>
      <c r="H13" s="146">
        <f>IF(ISERR(AE13/'work area'!G13*'Food Cost'!C73),0,AE13/'work area'!G13*'Food Cost'!C73)</f>
        <v>0</v>
      </c>
      <c r="I13" s="147">
        <f t="shared" si="5"/>
        <v>0</v>
      </c>
      <c r="T13" s="1">
        <f>+'Food Cost'!B13/IF(AA13&gt;0,AA13,1)</f>
        <v>0</v>
      </c>
      <c r="U13" s="12">
        <f>IF('Food Cost'!D13="x",1,0)</f>
        <v>0</v>
      </c>
      <c r="V13" s="12">
        <f>IF('Food Cost'!E13="x",1,0)</f>
        <v>0</v>
      </c>
      <c r="W13" s="12">
        <f>IF('Food Cost'!F13="x",1,0)</f>
        <v>0</v>
      </c>
      <c r="X13" s="12">
        <f>IF('Food Cost'!G13="x",1,0)</f>
        <v>0</v>
      </c>
      <c r="Y13" s="12">
        <f>IF('Food Cost'!H13="x",1,0)</f>
        <v>0</v>
      </c>
      <c r="Z13" s="12">
        <f t="shared" si="3"/>
        <v>0</v>
      </c>
      <c r="AA13" s="14">
        <f>+'Food Cost'!$C13*SUMPRODUCT($N$3:$R$3,$U13:$Y13)</f>
        <v>0</v>
      </c>
      <c r="AB13" s="31">
        <f>IF('Food Cost'!C13&gt;0,AA13/'Food Cost'!C13,0)</f>
        <v>0</v>
      </c>
      <c r="AC13" s="33">
        <f>+'Food Cost'!C43</f>
        <v>0</v>
      </c>
      <c r="AD13" s="31">
        <f t="shared" si="2"/>
        <v>0</v>
      </c>
      <c r="AE13" s="31">
        <f>IF(AD13&gt;0,'Food Cost'!B13/AD13,0)</f>
        <v>0</v>
      </c>
    </row>
    <row r="14" spans="6:31" ht="15">
      <c r="F14" s="144">
        <f>+IF('Food Cost'!A74="",0,1)</f>
        <v>0</v>
      </c>
      <c r="G14" s="145" t="e">
        <f t="shared" si="4"/>
        <v>#VALUE!</v>
      </c>
      <c r="H14" s="146">
        <f>IF(ISERR(AE14/'work area'!G14*'Food Cost'!C74),0,AE14/'work area'!G14*'Food Cost'!C74)</f>
        <v>0</v>
      </c>
      <c r="I14" s="147">
        <f t="shared" si="5"/>
        <v>0</v>
      </c>
      <c r="T14" s="1">
        <f>+'Food Cost'!B14/IF(AA14&gt;0,AA14,1)</f>
        <v>0</v>
      </c>
      <c r="U14" s="12">
        <f>IF('Food Cost'!D14="x",1,0)</f>
        <v>0</v>
      </c>
      <c r="V14" s="12">
        <f>IF('Food Cost'!E14="x",1,0)</f>
        <v>0</v>
      </c>
      <c r="W14" s="12">
        <f>IF('Food Cost'!F14="x",1,0)</f>
        <v>0</v>
      </c>
      <c r="X14" s="12">
        <f>IF('Food Cost'!G14="x",1,0)</f>
        <v>0</v>
      </c>
      <c r="Y14" s="12">
        <f>IF('Food Cost'!H14="x",1,0)</f>
        <v>0</v>
      </c>
      <c r="Z14" s="12">
        <f t="shared" si="3"/>
        <v>0</v>
      </c>
      <c r="AA14" s="14">
        <f>+'Food Cost'!$C14*SUMPRODUCT($N$3:$R$3,$U14:$Y14)</f>
        <v>0</v>
      </c>
      <c r="AB14" s="31">
        <f>IF('Food Cost'!C14&gt;0,AA14/'Food Cost'!C14,0)</f>
        <v>0</v>
      </c>
      <c r="AC14" s="33">
        <f>+'Food Cost'!C44</f>
        <v>0</v>
      </c>
      <c r="AD14" s="31">
        <f t="shared" si="2"/>
        <v>0</v>
      </c>
      <c r="AE14" s="31">
        <f>IF(AD14&gt;0,'Food Cost'!B14/AD14,0)</f>
        <v>0</v>
      </c>
    </row>
    <row r="15" spans="6:31" ht="15">
      <c r="F15" s="144">
        <v>0</v>
      </c>
      <c r="G15" s="145" t="e">
        <f t="shared" si="4"/>
        <v>#VALUE!</v>
      </c>
      <c r="H15" s="146">
        <f>IF(ISERR(AE15/'work area'!G15*'Food Cost'!C75),0,AE15/'work area'!G15*'Food Cost'!C75)</f>
        <v>0</v>
      </c>
      <c r="I15" s="147">
        <f t="shared" si="5"/>
        <v>0</v>
      </c>
      <c r="T15" s="1">
        <f>+'Food Cost'!B15/IF(AA15&gt;0,AA15,1)</f>
        <v>0</v>
      </c>
      <c r="U15" s="12">
        <f>IF('Food Cost'!D15="x",1,0)</f>
        <v>0</v>
      </c>
      <c r="V15" s="12">
        <f>IF('Food Cost'!E15="x",1,0)</f>
        <v>0</v>
      </c>
      <c r="W15" s="12">
        <f>IF('Food Cost'!F15="x",1,0)</f>
        <v>0</v>
      </c>
      <c r="X15" s="12">
        <f>IF('Food Cost'!G15="x",1,0)</f>
        <v>0</v>
      </c>
      <c r="Y15" s="12">
        <f>IF('Food Cost'!H15="x",1,0)</f>
        <v>0</v>
      </c>
      <c r="Z15" s="12">
        <f t="shared" si="3"/>
        <v>0</v>
      </c>
      <c r="AA15" s="14">
        <f>+'Food Cost'!$C15*SUMPRODUCT($N$3:$R$3,$U15:$Y15)</f>
        <v>0</v>
      </c>
      <c r="AB15" s="31">
        <f>IF('Food Cost'!C15&gt;0,AA15/'Food Cost'!C15,0)</f>
        <v>0</v>
      </c>
      <c r="AC15" s="33">
        <f>+'Food Cost'!C45</f>
        <v>0</v>
      </c>
      <c r="AD15" s="31">
        <f t="shared" si="2"/>
        <v>0</v>
      </c>
      <c r="AE15" s="31">
        <f>IF(AD15&gt;0,'Food Cost'!B15/AD15,0)</f>
        <v>0</v>
      </c>
    </row>
    <row r="16" spans="6:31" ht="15">
      <c r="F16" s="144">
        <f>+IF('Food Cost'!A76="",0,1)</f>
        <v>0</v>
      </c>
      <c r="G16" s="145" t="e">
        <f t="shared" si="4"/>
        <v>#VALUE!</v>
      </c>
      <c r="H16" s="146">
        <f>IF(ISERR(AE16/'work area'!G16*'Food Cost'!C76),0,AE16/'work area'!G16*'Food Cost'!C76)</f>
        <v>0</v>
      </c>
      <c r="I16" s="147">
        <f t="shared" si="5"/>
        <v>0</v>
      </c>
      <c r="T16" s="1">
        <f>+'Food Cost'!B16/IF(AA16&gt;0,AA16,1)</f>
        <v>0</v>
      </c>
      <c r="U16" s="12">
        <f>IF('Food Cost'!D16="x",1,0)</f>
        <v>0</v>
      </c>
      <c r="V16" s="12">
        <f>IF('Food Cost'!E16="x",1,0)</f>
        <v>0</v>
      </c>
      <c r="W16" s="12">
        <f>IF('Food Cost'!F16="x",1,0)</f>
        <v>0</v>
      </c>
      <c r="X16" s="12">
        <f>IF('Food Cost'!G16="x",1,0)</f>
        <v>0</v>
      </c>
      <c r="Y16" s="12">
        <f>IF('Food Cost'!H16="x",1,0)</f>
        <v>0</v>
      </c>
      <c r="Z16" s="12">
        <f t="shared" si="3"/>
        <v>0</v>
      </c>
      <c r="AA16" s="14">
        <f>+'Food Cost'!$C16*SUMPRODUCT($N$3:$R$3,$U16:$Y16)</f>
        <v>0</v>
      </c>
      <c r="AB16" s="31">
        <f>IF('Food Cost'!C16&gt;0,AA16/'Food Cost'!C16,0)</f>
        <v>0</v>
      </c>
      <c r="AC16" s="33">
        <f>+'Food Cost'!C46</f>
        <v>0</v>
      </c>
      <c r="AD16" s="31">
        <f t="shared" si="2"/>
        <v>0</v>
      </c>
      <c r="AE16" s="31">
        <f>IF(AD16&gt;0,'Food Cost'!B16/AD16,0)</f>
        <v>0</v>
      </c>
    </row>
    <row r="17" spans="6:31" ht="15">
      <c r="F17" s="144">
        <f>+IF('Food Cost'!A77="",0,1)</f>
        <v>0</v>
      </c>
      <c r="G17" s="145" t="e">
        <f t="shared" si="4"/>
        <v>#VALUE!</v>
      </c>
      <c r="H17" s="146">
        <f>IF(ISERR(AE17/'work area'!G17*'Food Cost'!C77),0,AE17/'work area'!G17*'Food Cost'!C77)</f>
        <v>0</v>
      </c>
      <c r="I17" s="147">
        <f t="shared" si="5"/>
        <v>0</v>
      </c>
      <c r="T17" s="1">
        <f>+'Food Cost'!B17/IF(AA17&gt;0,AA17,1)</f>
        <v>0</v>
      </c>
      <c r="U17" s="12">
        <f>IF('Food Cost'!D17="x",1,0)</f>
        <v>0</v>
      </c>
      <c r="V17" s="12">
        <f>IF('Food Cost'!E17="x",1,0)</f>
        <v>0</v>
      </c>
      <c r="W17" s="12">
        <f>IF('Food Cost'!F17="x",1,0)</f>
        <v>0</v>
      </c>
      <c r="X17" s="12">
        <f>IF('Food Cost'!G17="x",1,0)</f>
        <v>0</v>
      </c>
      <c r="Y17" s="12">
        <f>IF('Food Cost'!H17="x",1,0)</f>
        <v>0</v>
      </c>
      <c r="Z17" s="12">
        <f t="shared" si="3"/>
        <v>0</v>
      </c>
      <c r="AA17" s="14">
        <f>+'Food Cost'!$C17*SUMPRODUCT($N$3:$R$3,$U17:$Y17)</f>
        <v>0</v>
      </c>
      <c r="AB17" s="31">
        <f>IF('Food Cost'!C17&gt;0,AA17/'Food Cost'!C17,0)</f>
        <v>0</v>
      </c>
      <c r="AC17" s="33">
        <f>+'Food Cost'!C47</f>
        <v>0</v>
      </c>
      <c r="AD17" s="31">
        <f t="shared" si="2"/>
        <v>0</v>
      </c>
      <c r="AE17" s="31">
        <f>IF(AD17&gt;0,'Food Cost'!B17/AD17,0)</f>
        <v>0</v>
      </c>
    </row>
    <row r="18" spans="6:31" ht="15">
      <c r="F18" s="144">
        <f>+IF('Food Cost'!A88="",0,1)</f>
        <v>0</v>
      </c>
      <c r="G18" s="145" t="e">
        <f t="shared" si="4"/>
        <v>#VALUE!</v>
      </c>
      <c r="H18" s="146">
        <f>IF(ISERR(AE18/'work area'!G18*'Food Cost'!C78),0,AE18/'work area'!G18*'Food Cost'!C78)</f>
        <v>0</v>
      </c>
      <c r="I18" s="147">
        <f t="shared" si="5"/>
        <v>0</v>
      </c>
      <c r="T18" s="1">
        <f>+'Food Cost'!B18/IF(AA18&gt;0,AA18,1)</f>
        <v>0</v>
      </c>
      <c r="U18" s="12">
        <f>IF('Food Cost'!D18="x",1,0)</f>
        <v>0</v>
      </c>
      <c r="V18" s="12">
        <f>IF('Food Cost'!E18="x",1,0)</f>
        <v>0</v>
      </c>
      <c r="W18" s="12">
        <f>IF('Food Cost'!F18="x",1,0)</f>
        <v>0</v>
      </c>
      <c r="X18" s="12">
        <f>IF('Food Cost'!G18="x",1,0)</f>
        <v>0</v>
      </c>
      <c r="Y18" s="12">
        <f>IF('Food Cost'!H18="x",1,0)</f>
        <v>0</v>
      </c>
      <c r="Z18" s="12">
        <f aca="true" t="shared" si="6" ref="Z18:Z30">+U18*1+V18*2+W18*3+X18*4+Y18*5</f>
        <v>0</v>
      </c>
      <c r="AA18" s="14">
        <f>+'Food Cost'!$C18*SUMPRODUCT($N$3:$R$3,$U18:$Y18)</f>
        <v>0</v>
      </c>
      <c r="AB18" s="31">
        <f>IF('Food Cost'!C18&gt;0,AA18/'Food Cost'!C18,0)</f>
        <v>0</v>
      </c>
      <c r="AC18" s="33">
        <f>+'Food Cost'!C48</f>
        <v>0</v>
      </c>
      <c r="AD18" s="31">
        <f aca="true" t="shared" si="7" ref="AD18:AD30">+AC18*AA18</f>
        <v>0</v>
      </c>
      <c r="AE18" s="31">
        <f>IF(AD18&gt;0,'Food Cost'!B18/AD18,0)</f>
        <v>0</v>
      </c>
    </row>
    <row r="19" spans="6:31" ht="15">
      <c r="F19" s="144">
        <f>+IF('Food Cost'!A89="",0,1)</f>
        <v>0</v>
      </c>
      <c r="G19" s="145" t="e">
        <f t="shared" si="4"/>
        <v>#VALUE!</v>
      </c>
      <c r="H19" s="146">
        <f>IF(ISERR(AE19/'work area'!G19*'Food Cost'!C79),0,AE19/'work area'!G19*'Food Cost'!C79)</f>
        <v>0</v>
      </c>
      <c r="I19" s="147">
        <f t="shared" si="5"/>
        <v>0</v>
      </c>
      <c r="T19" s="1">
        <f>+'Food Cost'!B19/IF(AA19&gt;0,AA19,1)</f>
        <v>0</v>
      </c>
      <c r="U19" s="12">
        <f>IF('Food Cost'!D19="x",1,0)</f>
        <v>0</v>
      </c>
      <c r="V19" s="12">
        <f>IF('Food Cost'!E19="x",1,0)</f>
        <v>0</v>
      </c>
      <c r="W19" s="12">
        <f>IF('Food Cost'!F19="x",1,0)</f>
        <v>0</v>
      </c>
      <c r="X19" s="12">
        <f>IF('Food Cost'!G19="x",1,0)</f>
        <v>0</v>
      </c>
      <c r="Y19" s="12">
        <f>IF('Food Cost'!H19="x",1,0)</f>
        <v>0</v>
      </c>
      <c r="Z19" s="12">
        <f t="shared" si="6"/>
        <v>0</v>
      </c>
      <c r="AA19" s="14">
        <f>+'Food Cost'!$C19*SUMPRODUCT($N$3:$R$3,$U19:$Y19)</f>
        <v>0</v>
      </c>
      <c r="AB19" s="31">
        <f>IF('Food Cost'!C19&gt;0,AA19/'Food Cost'!C19,0)</f>
        <v>0</v>
      </c>
      <c r="AC19" s="33">
        <f>+'Food Cost'!C49</f>
        <v>0</v>
      </c>
      <c r="AD19" s="31">
        <f t="shared" si="7"/>
        <v>0</v>
      </c>
      <c r="AE19" s="31">
        <f>IF(AD19&gt;0,'Food Cost'!B19/AD19,0)</f>
        <v>0</v>
      </c>
    </row>
    <row r="20" spans="6:31" ht="15">
      <c r="F20" s="144">
        <f>+IF('Food Cost'!A90="",0,1)</f>
        <v>0</v>
      </c>
      <c r="G20" s="145" t="e">
        <f t="shared" si="4"/>
        <v>#VALUE!</v>
      </c>
      <c r="H20" s="146">
        <f>IF(ISERR(AE20/'work area'!G20*'Food Cost'!C80),0,AE20/'work area'!G20*'Food Cost'!C80)</f>
        <v>0</v>
      </c>
      <c r="I20" s="147">
        <f t="shared" si="5"/>
        <v>0</v>
      </c>
      <c r="T20" s="1">
        <f>+'Food Cost'!B20/IF(AA20&gt;0,AA20,1)</f>
        <v>0</v>
      </c>
      <c r="U20" s="12">
        <f>IF('Food Cost'!D20="x",1,0)</f>
        <v>0</v>
      </c>
      <c r="V20" s="12">
        <f>IF('Food Cost'!E20="x",1,0)</f>
        <v>0</v>
      </c>
      <c r="W20" s="12">
        <f>IF('Food Cost'!F20="x",1,0)</f>
        <v>0</v>
      </c>
      <c r="X20" s="12">
        <f>IF('Food Cost'!G20="x",1,0)</f>
        <v>0</v>
      </c>
      <c r="Y20" s="12">
        <f>IF('Food Cost'!H20="x",1,0)</f>
        <v>0</v>
      </c>
      <c r="Z20" s="12">
        <f t="shared" si="6"/>
        <v>0</v>
      </c>
      <c r="AA20" s="14">
        <f>+'Food Cost'!$C20*SUMPRODUCT($N$3:$R$3,$U20:$Y20)</f>
        <v>0</v>
      </c>
      <c r="AB20" s="31">
        <f>IF('Food Cost'!C20&gt;0,AA20/'Food Cost'!C20,0)</f>
        <v>0</v>
      </c>
      <c r="AC20" s="33">
        <f>+'Food Cost'!C50</f>
        <v>0</v>
      </c>
      <c r="AD20" s="31">
        <f t="shared" si="7"/>
        <v>0</v>
      </c>
      <c r="AE20" s="31">
        <f>IF(AD20&gt;0,'Food Cost'!B20/AD20,0)</f>
        <v>0</v>
      </c>
    </row>
    <row r="21" spans="6:31" ht="15">
      <c r="F21" s="144">
        <v>0</v>
      </c>
      <c r="G21" s="145" t="e">
        <f t="shared" si="4"/>
        <v>#VALUE!</v>
      </c>
      <c r="H21" s="146">
        <f>IF(ISERR(AE21/'work area'!G21*'Food Cost'!C81),0,AE21/'work area'!G21*'Food Cost'!C81)</f>
        <v>0</v>
      </c>
      <c r="I21" s="147">
        <f t="shared" si="5"/>
        <v>0</v>
      </c>
      <c r="T21" s="1">
        <f>+'Food Cost'!B21/IF(AA21&gt;0,AA21,1)</f>
        <v>0</v>
      </c>
      <c r="U21" s="12">
        <f>IF('Food Cost'!D21="x",1,0)</f>
        <v>0</v>
      </c>
      <c r="V21" s="12">
        <f>IF('Food Cost'!E21="x",1,0)</f>
        <v>0</v>
      </c>
      <c r="W21" s="12">
        <f>IF('Food Cost'!F21="x",1,0)</f>
        <v>0</v>
      </c>
      <c r="X21" s="12">
        <f>IF('Food Cost'!G21="x",1,0)</f>
        <v>0</v>
      </c>
      <c r="Y21" s="12">
        <f>IF('Food Cost'!H21="x",1,0)</f>
        <v>0</v>
      </c>
      <c r="Z21" s="12">
        <f t="shared" si="6"/>
        <v>0</v>
      </c>
      <c r="AA21" s="14">
        <f>+'Food Cost'!$C21*SUMPRODUCT($N$3:$R$3,$U21:$Y21)</f>
        <v>0</v>
      </c>
      <c r="AB21" s="31">
        <f>IF('Food Cost'!C21&gt;0,AA21/'Food Cost'!C21,0)</f>
        <v>0</v>
      </c>
      <c r="AC21" s="33">
        <f>+'Food Cost'!C51</f>
        <v>0</v>
      </c>
      <c r="AD21" s="31">
        <f t="shared" si="7"/>
        <v>0</v>
      </c>
      <c r="AE21" s="31">
        <f>IF(AD21&gt;0,'Food Cost'!B21/AD21,0)</f>
        <v>0</v>
      </c>
    </row>
    <row r="22" spans="6:33" ht="15">
      <c r="F22" s="144">
        <v>0</v>
      </c>
      <c r="G22" s="145" t="e">
        <f t="shared" si="4"/>
        <v>#VALUE!</v>
      </c>
      <c r="H22" s="146">
        <f>IF(ISERR(AE22/'work area'!G22*'Food Cost'!C82),0,AE22/'work area'!G22*'Food Cost'!C82)</f>
        <v>0</v>
      </c>
      <c r="I22" s="147">
        <f t="shared" si="5"/>
        <v>0</v>
      </c>
      <c r="N22" s="28"/>
      <c r="O22" s="28"/>
      <c r="P22" s="28"/>
      <c r="Q22" s="28"/>
      <c r="R22" s="28"/>
      <c r="S22" s="28"/>
      <c r="T22" s="1">
        <f>+'Food Cost'!B22/IF(AA22&gt;0,AA22,1)</f>
        <v>0</v>
      </c>
      <c r="U22" s="12">
        <f>IF('Food Cost'!D22="x",1,0)</f>
        <v>0</v>
      </c>
      <c r="V22" s="12">
        <f>IF('Food Cost'!E22="x",1,0)</f>
        <v>0</v>
      </c>
      <c r="W22" s="12">
        <f>IF('Food Cost'!F22="x",1,0)</f>
        <v>0</v>
      </c>
      <c r="X22" s="12">
        <f>IF('Food Cost'!G22="x",1,0)</f>
        <v>0</v>
      </c>
      <c r="Y22" s="12">
        <f>IF('Food Cost'!H22="x",1,0)</f>
        <v>0</v>
      </c>
      <c r="Z22" s="12">
        <f t="shared" si="6"/>
        <v>0</v>
      </c>
      <c r="AA22" s="14">
        <f>+'Food Cost'!$C22*SUMPRODUCT($N$3:$R$3,$U22:$Y22)</f>
        <v>0</v>
      </c>
      <c r="AB22" s="31">
        <f>IF('Food Cost'!C22&gt;0,AA22/'Food Cost'!C22,0)</f>
        <v>0</v>
      </c>
      <c r="AC22" s="33">
        <f>+'Food Cost'!C52</f>
        <v>0</v>
      </c>
      <c r="AD22" s="31">
        <f t="shared" si="7"/>
        <v>0</v>
      </c>
      <c r="AE22" s="31">
        <f>IF(AD22&gt;0,'Food Cost'!B22/AD22,0)</f>
        <v>0</v>
      </c>
      <c r="AF22" s="28"/>
      <c r="AG22" s="28"/>
    </row>
    <row r="23" spans="6:31" ht="15">
      <c r="F23" s="144">
        <v>0</v>
      </c>
      <c r="G23" s="145" t="e">
        <f t="shared" si="4"/>
        <v>#VALUE!</v>
      </c>
      <c r="H23" s="146">
        <f>IF(ISERR(AE23/'work area'!G23*'Food Cost'!C83),0,AE23/'work area'!G23*'Food Cost'!C83)</f>
        <v>0</v>
      </c>
      <c r="I23" s="147">
        <f t="shared" si="5"/>
        <v>0</v>
      </c>
      <c r="T23" s="1">
        <f>+'Food Cost'!B23/IF(AA23&gt;0,AA23,1)</f>
        <v>0</v>
      </c>
      <c r="U23" s="12">
        <f>IF('Food Cost'!D23="x",1,0)</f>
        <v>0</v>
      </c>
      <c r="V23" s="12">
        <f>IF('Food Cost'!E23="x",1,0)</f>
        <v>0</v>
      </c>
      <c r="W23" s="12">
        <f>IF('Food Cost'!F23="x",1,0)</f>
        <v>0</v>
      </c>
      <c r="X23" s="12">
        <f>IF('Food Cost'!G23="x",1,0)</f>
        <v>0</v>
      </c>
      <c r="Y23" s="12">
        <f>IF('Food Cost'!H23="x",1,0)</f>
        <v>0</v>
      </c>
      <c r="Z23" s="12">
        <f t="shared" si="6"/>
        <v>0</v>
      </c>
      <c r="AA23" s="14">
        <f>+'Food Cost'!$C23*SUMPRODUCT($N$3:$R$3,$U23:$Y23)</f>
        <v>0</v>
      </c>
      <c r="AB23" s="31">
        <f>IF('Food Cost'!C23&gt;0,AA23/'Food Cost'!C23,0)</f>
        <v>0</v>
      </c>
      <c r="AC23" s="33">
        <f>+'Food Cost'!C53</f>
        <v>0</v>
      </c>
      <c r="AD23" s="31">
        <f t="shared" si="7"/>
        <v>0</v>
      </c>
      <c r="AE23" s="31">
        <f>IF(AD23&gt;0,'Food Cost'!B23/AD23,0)</f>
        <v>0</v>
      </c>
    </row>
    <row r="24" spans="6:31" ht="15">
      <c r="F24" s="144">
        <v>0</v>
      </c>
      <c r="G24" s="145" t="e">
        <f t="shared" si="4"/>
        <v>#VALUE!</v>
      </c>
      <c r="H24" s="146">
        <f>IF(ISERR(AE24/'work area'!G24*'Food Cost'!C84),0,AE24/'work area'!G24*'Food Cost'!C84)</f>
        <v>0</v>
      </c>
      <c r="I24" s="147">
        <f t="shared" si="5"/>
        <v>0</v>
      </c>
      <c r="T24" s="1">
        <f>+'Food Cost'!B24/IF(AA24&gt;0,AA24,1)</f>
        <v>0</v>
      </c>
      <c r="U24" s="12">
        <f>IF('Food Cost'!D24="x",1,0)</f>
        <v>0</v>
      </c>
      <c r="V24" s="12">
        <f>IF('Food Cost'!E24="x",1,0)</f>
        <v>0</v>
      </c>
      <c r="W24" s="12">
        <f>IF('Food Cost'!F24="x",1,0)</f>
        <v>0</v>
      </c>
      <c r="X24" s="12">
        <f>IF('Food Cost'!G24="x",1,0)</f>
        <v>0</v>
      </c>
      <c r="Y24" s="12">
        <f>IF('Food Cost'!H24="x",1,0)</f>
        <v>0</v>
      </c>
      <c r="Z24" s="12">
        <f t="shared" si="6"/>
        <v>0</v>
      </c>
      <c r="AA24" s="14">
        <f>+'Food Cost'!$C24*SUMPRODUCT($N$3:$R$3,$U24:$Y24)</f>
        <v>0</v>
      </c>
      <c r="AB24" s="31">
        <f>IF('Food Cost'!C24&gt;0,AA24/'Food Cost'!C24,0)</f>
        <v>0</v>
      </c>
      <c r="AC24" s="33">
        <f>+'Food Cost'!C54</f>
        <v>0</v>
      </c>
      <c r="AD24" s="31">
        <f t="shared" si="7"/>
        <v>0</v>
      </c>
      <c r="AE24" s="31">
        <f>IF(AD24&gt;0,'Food Cost'!B24/AD24,0)</f>
        <v>0</v>
      </c>
    </row>
    <row r="25" spans="6:31" ht="15">
      <c r="F25" s="144">
        <v>0</v>
      </c>
      <c r="G25" s="145" t="e">
        <f t="shared" si="4"/>
        <v>#VALUE!</v>
      </c>
      <c r="H25" s="146">
        <f>IF(ISERR(AE25/'work area'!G25*'Food Cost'!C85),0,AE25/'work area'!G25*'Food Cost'!C85)</f>
        <v>0</v>
      </c>
      <c r="I25" s="147">
        <f t="shared" si="5"/>
        <v>0</v>
      </c>
      <c r="P25" s="29"/>
      <c r="T25" s="1">
        <f>+'Food Cost'!B25/IF(AA25&gt;0,AA25,1)</f>
        <v>0</v>
      </c>
      <c r="U25" s="12">
        <f>IF('Food Cost'!D25="x",1,0)</f>
        <v>0</v>
      </c>
      <c r="V25" s="12">
        <f>IF('Food Cost'!E25="x",1,0)</f>
        <v>0</v>
      </c>
      <c r="W25" s="12">
        <f>IF('Food Cost'!F25="x",1,0)</f>
        <v>0</v>
      </c>
      <c r="X25" s="12">
        <f>IF('Food Cost'!G25="x",1,0)</f>
        <v>0</v>
      </c>
      <c r="Y25" s="12">
        <f>IF('Food Cost'!H25="x",1,0)</f>
        <v>0</v>
      </c>
      <c r="Z25" s="12">
        <f t="shared" si="6"/>
        <v>0</v>
      </c>
      <c r="AA25" s="14">
        <f>+'Food Cost'!$C25*SUMPRODUCT($N$3:$R$3,$U25:$Y25)</f>
        <v>0</v>
      </c>
      <c r="AB25" s="31">
        <f>IF('Food Cost'!C25&gt;0,AA25/'Food Cost'!C25,0)</f>
        <v>0</v>
      </c>
      <c r="AC25" s="33">
        <f>+'Food Cost'!C55</f>
        <v>0</v>
      </c>
      <c r="AD25" s="31">
        <f t="shared" si="7"/>
        <v>0</v>
      </c>
      <c r="AE25" s="31">
        <f>IF(AD25&gt;0,'Food Cost'!B25/AD25,0)</f>
        <v>0</v>
      </c>
    </row>
    <row r="26" spans="6:31" ht="15">
      <c r="F26" s="144">
        <v>0</v>
      </c>
      <c r="G26" s="145" t="e">
        <f t="shared" si="4"/>
        <v>#VALUE!</v>
      </c>
      <c r="H26" s="146">
        <f>IF(ISERR(AE26/'work area'!G26*'Food Cost'!C86),0,AE26/'work area'!G26*'Food Cost'!C86)</f>
        <v>0</v>
      </c>
      <c r="I26" s="147">
        <f t="shared" si="5"/>
        <v>0</v>
      </c>
      <c r="P26" s="29"/>
      <c r="T26" s="1">
        <f>+'Food Cost'!B26/IF(AA26&gt;0,AA26,1)</f>
        <v>0</v>
      </c>
      <c r="U26" s="12">
        <f>IF('Food Cost'!D26="x",1,0)</f>
        <v>0</v>
      </c>
      <c r="V26" s="12">
        <f>IF('Food Cost'!E26="x",1,0)</f>
        <v>0</v>
      </c>
      <c r="W26" s="12">
        <f>IF('Food Cost'!F26="x",1,0)</f>
        <v>0</v>
      </c>
      <c r="X26" s="12">
        <f>IF('Food Cost'!G26="x",1,0)</f>
        <v>0</v>
      </c>
      <c r="Y26" s="12">
        <f>IF('Food Cost'!H26="x",1,0)</f>
        <v>0</v>
      </c>
      <c r="Z26" s="12">
        <f t="shared" si="6"/>
        <v>0</v>
      </c>
      <c r="AA26" s="14">
        <f>+'Food Cost'!$C26*SUMPRODUCT($N$3:$R$3,$U26:$Y26)</f>
        <v>0</v>
      </c>
      <c r="AB26" s="31">
        <f>IF('Food Cost'!C26&gt;0,AA26/'Food Cost'!C26,0)</f>
        <v>0</v>
      </c>
      <c r="AC26" s="33">
        <f>+'Food Cost'!C56</f>
        <v>0</v>
      </c>
      <c r="AD26" s="31">
        <f t="shared" si="7"/>
        <v>0</v>
      </c>
      <c r="AE26" s="31">
        <f>IF(AD26&gt;0,'Food Cost'!B26/AD26,0)</f>
        <v>0</v>
      </c>
    </row>
    <row r="27" spans="6:31" ht="15">
      <c r="F27" s="144">
        <v>0</v>
      </c>
      <c r="G27" s="145" t="e">
        <f t="shared" si="4"/>
        <v>#VALUE!</v>
      </c>
      <c r="H27" s="146">
        <f>IF(ISERR(AE27/'work area'!G27*'Food Cost'!C87),0,AE27/'work area'!G27*'Food Cost'!C87)</f>
        <v>0</v>
      </c>
      <c r="I27" s="147">
        <f t="shared" si="5"/>
        <v>0</v>
      </c>
      <c r="T27" s="1">
        <f>+'Food Cost'!B27/IF(AA27&gt;0,AA27,1)</f>
        <v>0</v>
      </c>
      <c r="U27" s="12">
        <f>IF('Food Cost'!D27="x",1,0)</f>
        <v>0</v>
      </c>
      <c r="V27" s="12">
        <f>IF('Food Cost'!E27="x",1,0)</f>
        <v>0</v>
      </c>
      <c r="W27" s="12">
        <f>IF('Food Cost'!F27="x",1,0)</f>
        <v>0</v>
      </c>
      <c r="X27" s="12">
        <f>IF('Food Cost'!G27="x",1,0)</f>
        <v>0</v>
      </c>
      <c r="Y27" s="12">
        <f>IF('Food Cost'!H27="x",1,0)</f>
        <v>0</v>
      </c>
      <c r="Z27" s="12">
        <f t="shared" si="6"/>
        <v>0</v>
      </c>
      <c r="AA27" s="14">
        <f>+'Food Cost'!$C27*SUMPRODUCT($N$3:$R$3,$U27:$Y27)</f>
        <v>0</v>
      </c>
      <c r="AB27" s="31">
        <f>IF('Food Cost'!C27&gt;0,AA27/'Food Cost'!C27,0)</f>
        <v>0</v>
      </c>
      <c r="AC27" s="33">
        <f>+'Food Cost'!C57</f>
        <v>0</v>
      </c>
      <c r="AD27" s="31">
        <f t="shared" si="7"/>
        <v>0</v>
      </c>
      <c r="AE27" s="31">
        <f>IF(AD27&gt;0,'Food Cost'!B27/AD27,0)</f>
        <v>0</v>
      </c>
    </row>
    <row r="28" spans="6:31" ht="15">
      <c r="F28" s="144">
        <v>0</v>
      </c>
      <c r="G28" s="145" t="e">
        <f t="shared" si="4"/>
        <v>#VALUE!</v>
      </c>
      <c r="H28" s="146">
        <f>IF(ISERR(AE28/'work area'!G28*'Food Cost'!C88),0,AE28/'work area'!G28*'Food Cost'!C88)</f>
        <v>0</v>
      </c>
      <c r="I28" s="147">
        <f t="shared" si="5"/>
        <v>0</v>
      </c>
      <c r="T28" s="1">
        <f>+'Food Cost'!B28/IF(AA28&gt;0,AA28,1)</f>
        <v>0</v>
      </c>
      <c r="U28" s="12">
        <f>IF('Food Cost'!D28="x",1,0)</f>
        <v>0</v>
      </c>
      <c r="V28" s="12">
        <f>IF('Food Cost'!E28="x",1,0)</f>
        <v>0</v>
      </c>
      <c r="W28" s="12">
        <f>IF('Food Cost'!F28="x",1,0)</f>
        <v>0</v>
      </c>
      <c r="X28" s="12">
        <f>IF('Food Cost'!G28="x",1,0)</f>
        <v>0</v>
      </c>
      <c r="Y28" s="12">
        <f>IF('Food Cost'!H28="x",1,0)</f>
        <v>0</v>
      </c>
      <c r="Z28" s="12">
        <f t="shared" si="6"/>
        <v>0</v>
      </c>
      <c r="AA28" s="14">
        <f>+'Food Cost'!$C28*SUMPRODUCT($N$3:$R$3,$U28:$Y28)</f>
        <v>0</v>
      </c>
      <c r="AB28" s="31">
        <f>IF('Food Cost'!C28&gt;0,AA28/'Food Cost'!C28,0)</f>
        <v>0</v>
      </c>
      <c r="AC28" s="33">
        <f>+'Food Cost'!C58</f>
        <v>0</v>
      </c>
      <c r="AD28" s="31">
        <f t="shared" si="7"/>
        <v>0</v>
      </c>
      <c r="AE28" s="31">
        <f>IF(AD28&gt;0,'Food Cost'!B28/AD28,0)</f>
        <v>0</v>
      </c>
    </row>
    <row r="29" spans="6:31" ht="15">
      <c r="F29" s="144">
        <v>0</v>
      </c>
      <c r="G29" s="145" t="e">
        <f t="shared" si="4"/>
        <v>#VALUE!</v>
      </c>
      <c r="H29" s="146">
        <f>IF(ISERR(AE29/'work area'!G29*'Food Cost'!C89),0,AE29/'work area'!G29*'Food Cost'!C89)</f>
        <v>0</v>
      </c>
      <c r="I29" s="147">
        <f t="shared" si="5"/>
        <v>0</v>
      </c>
      <c r="T29" s="1">
        <f>+'Food Cost'!B29/IF(AA29&gt;0,AA29,1)</f>
        <v>0</v>
      </c>
      <c r="U29" s="12">
        <f>IF('Food Cost'!D29="x",1,0)</f>
        <v>0</v>
      </c>
      <c r="V29" s="12">
        <f>IF('Food Cost'!E29="x",1,0)</f>
        <v>0</v>
      </c>
      <c r="W29" s="12">
        <f>IF('Food Cost'!F29="x",1,0)</f>
        <v>0</v>
      </c>
      <c r="X29" s="12">
        <f>IF('Food Cost'!G29="x",1,0)</f>
        <v>0</v>
      </c>
      <c r="Y29" s="12">
        <f>IF('Food Cost'!H29="x",1,0)</f>
        <v>0</v>
      </c>
      <c r="Z29" s="12">
        <f t="shared" si="6"/>
        <v>0</v>
      </c>
      <c r="AA29" s="14">
        <f>+'Food Cost'!$C29*SUMPRODUCT($N$3:$R$3,$U29:$Y29)</f>
        <v>0</v>
      </c>
      <c r="AB29" s="31">
        <f>IF('Food Cost'!C29&gt;0,AA29/'Food Cost'!C29,0)</f>
        <v>0</v>
      </c>
      <c r="AC29" s="33">
        <f>+'Food Cost'!C59</f>
        <v>0</v>
      </c>
      <c r="AD29" s="31">
        <f t="shared" si="7"/>
        <v>0</v>
      </c>
      <c r="AE29" s="31">
        <f>IF(AD29&gt;0,'Food Cost'!B29/AD29,0)</f>
        <v>0</v>
      </c>
    </row>
    <row r="30" spans="6:31" ht="15">
      <c r="F30" s="144">
        <v>0</v>
      </c>
      <c r="G30" s="145" t="e">
        <f t="shared" si="4"/>
        <v>#VALUE!</v>
      </c>
      <c r="H30" s="146">
        <f>IF(ISERR(AE30/'work area'!G30*'Food Cost'!C90),0,AE30/'work area'!G30*'Food Cost'!C90)</f>
        <v>0</v>
      </c>
      <c r="I30" s="147">
        <f t="shared" si="5"/>
        <v>0</v>
      </c>
      <c r="T30" s="1">
        <f>+'Food Cost'!B30/IF(AA30&gt;0,AA30,1)</f>
        <v>0</v>
      </c>
      <c r="U30" s="12">
        <f>IF('Food Cost'!D30="x",1,0)</f>
        <v>0</v>
      </c>
      <c r="V30" s="12">
        <f>IF('Food Cost'!E30="x",1,0)</f>
        <v>0</v>
      </c>
      <c r="W30" s="12">
        <f>IF('Food Cost'!F30="x",1,0)</f>
        <v>0</v>
      </c>
      <c r="X30" s="12">
        <f>IF('Food Cost'!G30="x",1,0)</f>
        <v>0</v>
      </c>
      <c r="Y30" s="12">
        <f>IF('Food Cost'!H30="x",1,0)</f>
        <v>0</v>
      </c>
      <c r="Z30" s="12">
        <f t="shared" si="6"/>
        <v>0</v>
      </c>
      <c r="AA30" s="14">
        <f>+'Food Cost'!$C30*SUMPRODUCT($N$3:$R$3,$U30:$Y30)</f>
        <v>0</v>
      </c>
      <c r="AB30" s="31">
        <f>IF('Food Cost'!C30&gt;0,AA30/'Food Cost'!C30,0)</f>
        <v>0</v>
      </c>
      <c r="AC30" s="33">
        <f>+'Food Cost'!C60</f>
        <v>0</v>
      </c>
      <c r="AD30" s="31">
        <f t="shared" si="7"/>
        <v>0</v>
      </c>
      <c r="AE30" s="31">
        <f>IF(AD30&gt;0,'Food Cost'!B30/AD30,0)</f>
        <v>0</v>
      </c>
    </row>
    <row r="31" spans="8:9" ht="15">
      <c r="H31" s="31"/>
      <c r="I31" s="14"/>
    </row>
    <row r="33" spans="9:10" ht="15">
      <c r="I33" s="31">
        <f>SUM(I3:I32)</f>
        <v>412.1311688311688</v>
      </c>
      <c r="J33" t="s">
        <v>109</v>
      </c>
    </row>
    <row r="35" spans="6:20" ht="15">
      <c r="F35" s="84" t="s">
        <v>146</v>
      </c>
      <c r="T35" t="s">
        <v>148</v>
      </c>
    </row>
    <row r="36" ht="15">
      <c r="F36" s="84" t="s">
        <v>147</v>
      </c>
    </row>
    <row r="37" ht="15">
      <c r="F37" s="84"/>
    </row>
    <row r="42" spans="32:33" ht="15">
      <c r="AF42" s="12"/>
      <c r="AG42" s="12"/>
    </row>
    <row r="43" spans="32:33" ht="15">
      <c r="AF43" s="12"/>
      <c r="AG43" s="12"/>
    </row>
    <row r="44" spans="32:33" ht="15">
      <c r="AF44" s="12"/>
      <c r="AG44" s="12"/>
    </row>
    <row r="45" spans="32:33" ht="15">
      <c r="AF45" s="12"/>
      <c r="AG45" s="12"/>
    </row>
    <row r="46" spans="32:33" ht="15">
      <c r="AF46" s="12"/>
      <c r="AG46" s="12"/>
    </row>
    <row r="47" spans="32:33" ht="15">
      <c r="AF47" s="12"/>
      <c r="AG47" s="12"/>
    </row>
    <row r="48" spans="32:33" ht="15">
      <c r="AF48" s="12"/>
      <c r="AG48" s="12"/>
    </row>
    <row r="49" spans="32:33" ht="15">
      <c r="AF49" s="12"/>
      <c r="AG49" s="12"/>
    </row>
    <row r="50" spans="32:33" ht="15">
      <c r="AF50" s="12"/>
      <c r="AG50" s="12"/>
    </row>
    <row r="51" spans="32:33" ht="15">
      <c r="AF51" s="12"/>
      <c r="AG51" s="12"/>
    </row>
    <row r="52" spans="32:33" ht="15">
      <c r="AF52" s="12"/>
      <c r="AG52" s="12"/>
    </row>
    <row r="53" spans="32:33" ht="15">
      <c r="AF53" s="12"/>
      <c r="AG53" s="12"/>
    </row>
    <row r="54" spans="32:33" ht="15">
      <c r="AF54" s="12"/>
      <c r="AG54" s="12"/>
    </row>
    <row r="55" spans="32:33" ht="15">
      <c r="AF55" s="12"/>
      <c r="AG55" s="12"/>
    </row>
    <row r="56" spans="32:33" ht="15">
      <c r="AF56" s="12"/>
      <c r="AG56" s="12"/>
    </row>
    <row r="57" spans="32:33" ht="15">
      <c r="AF57" s="12"/>
      <c r="AG57" s="12"/>
    </row>
    <row r="58" spans="32:33" ht="15">
      <c r="AF58" s="12"/>
      <c r="AG58" s="12"/>
    </row>
    <row r="59" spans="32:33" ht="15">
      <c r="AF59" s="12"/>
      <c r="AG59" s="12"/>
    </row>
    <row r="60" spans="32:33" ht="15">
      <c r="AF60" s="12"/>
      <c r="AG60" s="12"/>
    </row>
    <row r="61" spans="32:33" ht="15">
      <c r="AF61" s="12"/>
      <c r="AG61" s="12"/>
    </row>
    <row r="62" spans="32:33" ht="15">
      <c r="AF62" s="12"/>
      <c r="AG62" s="12"/>
    </row>
    <row r="63" spans="32:33" ht="15">
      <c r="AF63" s="12"/>
      <c r="AG63" s="12"/>
    </row>
    <row r="64" spans="32:33" ht="15">
      <c r="AF64" s="12"/>
      <c r="AG64" s="12"/>
    </row>
    <row r="80" spans="32:33" ht="15">
      <c r="AF80" s="1"/>
      <c r="AG80" s="1"/>
    </row>
    <row r="81" spans="32:33" ht="15">
      <c r="AF81" s="1"/>
      <c r="AG81" s="1"/>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19"/>
  <sheetViews>
    <sheetView tabSelected="1" zoomScalePageLayoutView="0" workbookViewId="0" topLeftCell="A1">
      <selection activeCell="K24" sqref="K24"/>
    </sheetView>
  </sheetViews>
  <sheetFormatPr defaultColWidth="9.140625" defaultRowHeight="15"/>
  <cols>
    <col min="1" max="1" width="26.7109375" style="0" customWidth="1"/>
    <col min="2" max="2" width="11.28125" style="0" customWidth="1"/>
    <col min="3" max="3" width="9.7109375" style="0" customWidth="1"/>
    <col min="4" max="4" width="3.57421875" style="0" customWidth="1"/>
    <col min="5" max="6" width="10.00390625" style="0" customWidth="1"/>
    <col min="7" max="7" width="2.421875" style="0" customWidth="1"/>
    <col min="8" max="9" width="10.00390625" style="0" customWidth="1"/>
  </cols>
  <sheetData>
    <row r="1" ht="18.75">
      <c r="A1" s="154" t="str">
        <f>+"Profit &amp; loss (P&amp;L) for "&amp;'Food Cost'!C98</f>
        <v>Profit &amp; loss (P&amp;L) for apple pie</v>
      </c>
    </row>
    <row r="2" spans="1:9" ht="18.75">
      <c r="A2" s="154"/>
      <c r="E2" s="196" t="s">
        <v>162</v>
      </c>
      <c r="F2" s="197"/>
      <c r="G2" s="197"/>
      <c r="H2" s="198"/>
      <c r="I2" s="57">
        <v>0.75</v>
      </c>
    </row>
    <row r="3" spans="1:9" ht="18.75">
      <c r="A3" s="154"/>
      <c r="E3" s="196" t="s">
        <v>163</v>
      </c>
      <c r="F3" s="197"/>
      <c r="G3" s="197"/>
      <c r="H3" s="198"/>
      <c r="I3" s="57">
        <v>0.25</v>
      </c>
    </row>
    <row r="5" spans="1:9" ht="27.75" customHeight="1">
      <c r="A5" s="28"/>
      <c r="B5" s="195" t="s">
        <v>207</v>
      </c>
      <c r="C5" s="195"/>
      <c r="D5" s="155"/>
      <c r="E5" s="195" t="s">
        <v>208</v>
      </c>
      <c r="F5" s="195"/>
      <c r="G5" s="28"/>
      <c r="H5" s="195" t="s">
        <v>161</v>
      </c>
      <c r="I5" s="195"/>
    </row>
    <row r="6" spans="1:9" ht="15">
      <c r="A6" s="15" t="s">
        <v>133</v>
      </c>
      <c r="B6" s="229">
        <f>+'Pricing Template Mach2'!H37</f>
        <v>7637.6794103645825</v>
      </c>
      <c r="C6" s="126">
        <f>+B6/B$6</f>
        <v>1</v>
      </c>
      <c r="D6" s="35"/>
      <c r="E6" s="229">
        <f>+'Pricing Template Mach2'!H44</f>
        <v>8499.813518450857</v>
      </c>
      <c r="F6" s="126">
        <f>+E6/E$6</f>
        <v>1</v>
      </c>
      <c r="H6" s="229">
        <f>+B6*$I$2+E6*$I$3</f>
        <v>7853.212937386152</v>
      </c>
      <c r="I6" s="126">
        <f>+H6/H$6</f>
        <v>1</v>
      </c>
    </row>
    <row r="7" spans="1:9" ht="15">
      <c r="A7" s="53" t="s">
        <v>136</v>
      </c>
      <c r="B7" s="230">
        <f>+'Pricing Template Mach2'!H33*'Pricing Template Mach2'!I33</f>
        <v>7637.6794103645825</v>
      </c>
      <c r="C7" s="118">
        <f>+B7/B$6</f>
        <v>1</v>
      </c>
      <c r="E7" s="230">
        <f>+'Pricing Template Mach2'!H40*'Pricing Template Mach2'!I33</f>
        <v>8499.813518450857</v>
      </c>
      <c r="F7" s="118">
        <f>+E7/E$6</f>
        <v>1</v>
      </c>
      <c r="H7" s="230">
        <f aca="true" t="shared" si="0" ref="H7:H19">+B7*$I$2+E7*$I$3</f>
        <v>7853.212937386152</v>
      </c>
      <c r="I7" s="118">
        <f>+H7/H$6</f>
        <v>1</v>
      </c>
    </row>
    <row r="8" spans="1:9" ht="15">
      <c r="A8" s="53" t="s">
        <v>137</v>
      </c>
      <c r="B8" s="230">
        <f>+'Pricing Template Mach2'!H34*'Pricing Template Mach2'!I34</f>
        <v>0</v>
      </c>
      <c r="C8" s="118">
        <f>+B8/B$6</f>
        <v>0</v>
      </c>
      <c r="E8" s="230">
        <f>+'Pricing Template Mach2'!H41*'Pricing Template Mach2'!I34</f>
        <v>0</v>
      </c>
      <c r="F8" s="118">
        <f>+E8/E$6</f>
        <v>0</v>
      </c>
      <c r="H8" s="230">
        <f t="shared" si="0"/>
        <v>0</v>
      </c>
      <c r="I8" s="118">
        <f>+H8/H$6</f>
        <v>0</v>
      </c>
    </row>
    <row r="9" spans="1:9" ht="15">
      <c r="A9" s="53" t="s">
        <v>209</v>
      </c>
      <c r="B9" s="230">
        <f>+'Pricing Template Mach2'!H35*'Pricing Template Mach2'!I35</f>
        <v>0</v>
      </c>
      <c r="C9" s="118">
        <f>+B9/B$6</f>
        <v>0</v>
      </c>
      <c r="E9" s="230">
        <f>+'Pricing Template Mach2'!H42*'Pricing Template Mach2'!I35</f>
        <v>0</v>
      </c>
      <c r="F9" s="118">
        <f>+E9/E$6</f>
        <v>0</v>
      </c>
      <c r="H9" s="230">
        <f t="shared" si="0"/>
        <v>0</v>
      </c>
      <c r="I9" s="118">
        <f>+H9/H$6</f>
        <v>0</v>
      </c>
    </row>
    <row r="10" spans="1:9" ht="15">
      <c r="A10" s="53" t="s">
        <v>138</v>
      </c>
      <c r="B10" s="230">
        <f>+'Pricing Template Mach2'!H36*'Pricing Template Mach2'!I36</f>
        <v>0</v>
      </c>
      <c r="C10" s="118">
        <f>+B10/B$6</f>
        <v>0</v>
      </c>
      <c r="E10" s="230">
        <f>+'Pricing Template Mach2'!H43*'Pricing Template Mach2'!I36</f>
        <v>0</v>
      </c>
      <c r="F10" s="118">
        <f>+E10/E$6</f>
        <v>0</v>
      </c>
      <c r="H10" s="230">
        <f t="shared" si="0"/>
        <v>0</v>
      </c>
      <c r="I10" s="118">
        <f>+H10/H$6</f>
        <v>0</v>
      </c>
    </row>
    <row r="11" spans="1:9" ht="15">
      <c r="A11" s="53"/>
      <c r="B11" s="120"/>
      <c r="C11" s="118"/>
      <c r="E11" s="120"/>
      <c r="F11" s="118"/>
      <c r="H11" s="120"/>
      <c r="I11" s="118"/>
    </row>
    <row r="12" spans="1:9" ht="15">
      <c r="A12" s="119" t="s">
        <v>211</v>
      </c>
      <c r="B12" s="230">
        <f>+'Pricing Template Mach2'!F37*'Pricing Template Mach2'!E19</f>
        <v>2150.889410364582</v>
      </c>
      <c r="C12" s="118">
        <f>+B12/B$6</f>
        <v>0.2816155660377358</v>
      </c>
      <c r="E12" s="230">
        <f>+'Pricing Template Mach2'!F44*'Pricing Template Mach2'!G19</f>
        <v>3013.0235184508583</v>
      </c>
      <c r="F12" s="118">
        <f>+E12/E$6</f>
        <v>0.3544811320754717</v>
      </c>
      <c r="H12" s="230">
        <f t="shared" si="0"/>
        <v>2366.4229373861513</v>
      </c>
      <c r="I12" s="118">
        <f>+H12/H$6</f>
        <v>0.30133181874141146</v>
      </c>
    </row>
    <row r="13" spans="1:9" ht="15">
      <c r="A13" s="119" t="s">
        <v>210</v>
      </c>
      <c r="B13" s="230">
        <f>+B6-B12</f>
        <v>5486.790000000001</v>
      </c>
      <c r="C13" s="118">
        <f>+B13/B$6</f>
        <v>0.7183844339622643</v>
      </c>
      <c r="E13" s="230">
        <f>+E6-E12</f>
        <v>5486.789999999999</v>
      </c>
      <c r="F13" s="118">
        <f>+E13/E$6</f>
        <v>0.6455188679245283</v>
      </c>
      <c r="H13" s="230">
        <f t="shared" si="0"/>
        <v>5486.790000000001</v>
      </c>
      <c r="I13" s="118">
        <f>+H13/H$6</f>
        <v>0.6986681812585886</v>
      </c>
    </row>
    <row r="14" spans="2:8" ht="15">
      <c r="B14" s="121"/>
      <c r="E14" s="121"/>
      <c r="H14" s="121"/>
    </row>
    <row r="15" spans="1:9" ht="15">
      <c r="A15" s="119" t="s">
        <v>212</v>
      </c>
      <c r="B15" s="230">
        <f>+'Pricing Template Mach2'!E21</f>
        <v>401.78999999999996</v>
      </c>
      <c r="C15" s="118">
        <f>+B15/B$6</f>
        <v>0.05260629288193973</v>
      </c>
      <c r="E15" s="230">
        <f>+B15</f>
        <v>401.78999999999996</v>
      </c>
      <c r="F15" s="118">
        <f>+E15/E$6</f>
        <v>0.04727044883135608</v>
      </c>
      <c r="H15" s="230">
        <f t="shared" si="0"/>
        <v>401.78999999999996</v>
      </c>
      <c r="I15" s="118">
        <f>+H15/H$6</f>
        <v>0.05116249912023027</v>
      </c>
    </row>
    <row r="16" spans="1:9" ht="15">
      <c r="A16" s="119" t="s">
        <v>134</v>
      </c>
      <c r="B16" s="230">
        <f>+B13-B15</f>
        <v>5085.000000000001</v>
      </c>
      <c r="C16" s="118">
        <f>+B16/B$6</f>
        <v>0.6657781410803245</v>
      </c>
      <c r="E16" s="230">
        <f>+E13-E15</f>
        <v>5084.999999999999</v>
      </c>
      <c r="F16" s="118">
        <f>+E16/E$6</f>
        <v>0.5982484190931722</v>
      </c>
      <c r="H16" s="230">
        <f t="shared" si="0"/>
        <v>5085.000000000001</v>
      </c>
      <c r="I16" s="118">
        <f>+H16/H$6</f>
        <v>0.6475056821383584</v>
      </c>
    </row>
    <row r="17" spans="2:8" ht="15">
      <c r="B17" s="121"/>
      <c r="E17" s="121"/>
      <c r="H17" s="230">
        <f t="shared" si="0"/>
        <v>0</v>
      </c>
    </row>
    <row r="18" spans="1:9" ht="15">
      <c r="A18" s="119" t="s">
        <v>213</v>
      </c>
      <c r="B18" s="230">
        <f>+'Pricing Template Mach2'!E22</f>
        <v>3085</v>
      </c>
      <c r="C18" s="118">
        <f>+B18/B$6</f>
        <v>0.4039184985708556</v>
      </c>
      <c r="E18" s="230">
        <f>+B18</f>
        <v>3085</v>
      </c>
      <c r="F18" s="118">
        <f>+E18/E$6</f>
        <v>0.36294913921385186</v>
      </c>
      <c r="H18" s="230">
        <f t="shared" si="0"/>
        <v>3085</v>
      </c>
      <c r="I18" s="118">
        <f>+H18/H$6</f>
        <v>0.39283284747233727</v>
      </c>
    </row>
    <row r="19" spans="1:9" ht="15">
      <c r="A19" s="119" t="s">
        <v>214</v>
      </c>
      <c r="B19" s="230">
        <f>+B16-B18</f>
        <v>2000.000000000001</v>
      </c>
      <c r="C19" s="118">
        <f>+B19/B$6</f>
        <v>0.2618596425094689</v>
      </c>
      <c r="E19" s="230">
        <f>+E16-E18</f>
        <v>1999.999999999999</v>
      </c>
      <c r="F19" s="118">
        <f>+E19/E$6</f>
        <v>0.23529927987932037</v>
      </c>
      <c r="H19" s="230">
        <f t="shared" si="0"/>
        <v>2000.0000000000005</v>
      </c>
      <c r="I19" s="118">
        <f>+H19/H$6</f>
        <v>0.254672834666021</v>
      </c>
    </row>
  </sheetData>
  <sheetProtection/>
  <mergeCells count="5">
    <mergeCell ref="B5:C5"/>
    <mergeCell ref="E5:F5"/>
    <mergeCell ref="H5:I5"/>
    <mergeCell ref="E2:H2"/>
    <mergeCell ref="E3:H3"/>
  </mergeCells>
  <printOptions/>
  <pageMargins left="0.25" right="0.25" top="0.75" bottom="0.75" header="0.3" footer="0.3"/>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Pricing workbook populated</dc:title>
  <dc:subject/>
  <dc:creator>Jeff Fidyk</dc:creator>
  <cp:keywords/>
  <dc:description/>
  <cp:lastModifiedBy>user</cp:lastModifiedBy>
  <cp:lastPrinted>2016-09-06T20:04:16Z</cp:lastPrinted>
  <dcterms:created xsi:type="dcterms:W3CDTF">2015-04-22T20:58:37Z</dcterms:created>
  <dcterms:modified xsi:type="dcterms:W3CDTF">2017-09-30T16:25:14Z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