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55" windowWidth="15030" windowHeight="4200" firstSheet="1" activeTab="6"/>
  </bookViews>
  <sheets>
    <sheet name="Notes" sheetId="1" r:id="rId1"/>
    <sheet name="Expansion" sheetId="2" r:id="rId2"/>
    <sheet name="Milk Price and Test" sheetId="3" r:id="rId3"/>
    <sheet name="Report" sheetId="4" r:id="rId4"/>
    <sheet name="Loan" sheetId="5" r:id="rId5"/>
    <sheet name="Options" sheetId="6" r:id="rId6"/>
    <sheet name="Feed" sheetId="7" r:id="rId7"/>
    <sheet name="QuotaEcon" sheetId="8" r:id="rId8"/>
    <sheet name="Sheet4" sheetId="9" state="hidden" r:id="rId9"/>
  </sheets>
  <definedNames>
    <definedName name="atat">'Milk Price and Test'!$H$58</definedName>
    <definedName name="basefat">'Milk Price and Test'!$D$58:$E$77</definedName>
    <definedName name="baseprotein">'Milk Price and Test'!$A$58:$B$79</definedName>
    <definedName name="contractmilk" localSheetId="5">'Options'!#REF!</definedName>
    <definedName name="contractmilk">'Report'!$E$10</definedName>
    <definedName name="deductions">'Milk Price and Test'!$C$8</definedName>
    <definedName name="milkproduced" localSheetId="5">'Options'!#REF!</definedName>
    <definedName name="milkproduced">'Report'!#REF!</definedName>
    <definedName name="_xlnm.Print_Area" localSheetId="5">'Options'!$A$1:$E$57</definedName>
    <definedName name="WorldPricePercentage">'Milk Price and Test'!#REF!</definedName>
    <definedName name="yourquota" localSheetId="5">'Options'!#REF!</definedName>
    <definedName name="yourquota">'Report'!$E$11</definedName>
  </definedNames>
  <calcPr fullCalcOnLoad="1"/>
</workbook>
</file>

<file path=xl/comments6.xml><?xml version="1.0" encoding="utf-8"?>
<comments xmlns="http://schemas.openxmlformats.org/spreadsheetml/2006/main">
  <authors>
    <author>Brian Lang</author>
  </authors>
  <commentList>
    <comment ref="D1" authorId="0">
      <text>
        <r>
          <rPr>
            <sz val="10"/>
            <rFont val="Tahoma"/>
            <family val="2"/>
          </rPr>
          <t>Enter other combinations that you want to consider.</t>
        </r>
        <r>
          <rPr>
            <sz val="8"/>
            <rFont val="Tahoma"/>
            <family val="2"/>
          </rPr>
          <t xml:space="preserve">
</t>
        </r>
      </text>
    </comment>
    <comment ref="C1" authorId="0">
      <text>
        <r>
          <rPr>
            <sz val="10"/>
            <rFont val="Tahoma"/>
            <family val="2"/>
          </rPr>
          <t xml:space="preserve">Interest rate and other information from Loan page.
</t>
        </r>
        <r>
          <rPr>
            <sz val="8"/>
            <rFont val="Tahoma"/>
            <family val="2"/>
          </rPr>
          <t xml:space="preserve">
</t>
        </r>
      </text>
    </comment>
    <comment ref="E1" authorId="0">
      <text>
        <r>
          <rPr>
            <sz val="10"/>
            <rFont val="Tahoma"/>
            <family val="2"/>
          </rPr>
          <t>Enter other combinations that you want to consider.</t>
        </r>
      </text>
    </comment>
  </commentList>
</comments>
</file>

<file path=xl/sharedStrings.xml><?xml version="1.0" encoding="utf-8"?>
<sst xmlns="http://schemas.openxmlformats.org/spreadsheetml/2006/main" count="458" uniqueCount="341">
  <si>
    <t>Dairy Expansion Proposal</t>
  </si>
  <si>
    <t>Current</t>
  </si>
  <si>
    <t>Proposed</t>
  </si>
  <si>
    <t>Expansion Costs (Excluding Cows &amp; Quota)</t>
  </si>
  <si>
    <t xml:space="preserve"> - Barn Construction Cost</t>
  </si>
  <si>
    <t xml:space="preserve"> - Parlor</t>
  </si>
  <si>
    <t xml:space="preserve"> - Feed Storage</t>
  </si>
  <si>
    <t xml:space="preserve"> - Manure Storage</t>
  </si>
  <si>
    <t xml:space="preserve">   Total</t>
  </si>
  <si>
    <t>Quota Purchases</t>
  </si>
  <si>
    <t xml:space="preserve"> - Unit Cost of Quota</t>
  </si>
  <si>
    <t xml:space="preserve">   Cost of Additional Quota</t>
  </si>
  <si>
    <t>Livestock Purchases</t>
  </si>
  <si>
    <t xml:space="preserve"> - Cost per Cow</t>
  </si>
  <si>
    <t xml:space="preserve">   Cost of Additional Livestock</t>
  </si>
  <si>
    <t>Operating Credit</t>
  </si>
  <si>
    <t xml:space="preserve"> - Average Operating Loan</t>
  </si>
  <si>
    <t xml:space="preserve"> - Operating Loan Interest Rate</t>
  </si>
  <si>
    <t xml:space="preserve">   Annual Operating Loan Cost</t>
  </si>
  <si>
    <t>Term Debt</t>
  </si>
  <si>
    <t xml:space="preserve"> - Existing Debt</t>
  </si>
  <si>
    <t xml:space="preserve"> - Livestock</t>
  </si>
  <si>
    <t xml:space="preserve"> - Quota</t>
  </si>
  <si>
    <t xml:space="preserve"> - Facility Expansion Cost</t>
  </si>
  <si>
    <t>Quota Loan</t>
  </si>
  <si>
    <t>Expected Annual Interest Rate %</t>
  </si>
  <si>
    <t>Amortized Length of the Loan in Years</t>
  </si>
  <si>
    <t>Number of Payments per Year</t>
  </si>
  <si>
    <t>Compounding Periods per Year</t>
  </si>
  <si>
    <t>Total Monthly Payment</t>
  </si>
  <si>
    <t>Livestock Loan</t>
  </si>
  <si>
    <t xml:space="preserve">  (Not Including Existing Debt)</t>
  </si>
  <si>
    <t xml:space="preserve"> HomeGrown Feed</t>
  </si>
  <si>
    <t>Acres</t>
  </si>
  <si>
    <t xml:space="preserve"> - Corn Silage</t>
  </si>
  <si>
    <t xml:space="preserve"> - Hay</t>
  </si>
  <si>
    <t xml:space="preserve"> - Haylage</t>
  </si>
  <si>
    <t xml:space="preserve"> Total Home-grown Feed</t>
  </si>
  <si>
    <t>FARM REVENUE</t>
  </si>
  <si>
    <t>+/- %</t>
  </si>
  <si>
    <t>Number of Cows</t>
  </si>
  <si>
    <t>Milk per Cow</t>
  </si>
  <si>
    <t>Daily Quota</t>
  </si>
  <si>
    <t>Litres of Milk Sold</t>
  </si>
  <si>
    <t xml:space="preserve">   Fat Test</t>
  </si>
  <si>
    <t xml:space="preserve">   Protein Test</t>
  </si>
  <si>
    <t>Tillable Acres</t>
  </si>
  <si>
    <t>Number of Tillable Acres/Cow</t>
  </si>
  <si>
    <t>Equity</t>
  </si>
  <si>
    <t>Debt per Litre of Milk Sold</t>
  </si>
  <si>
    <t>Total Debt</t>
  </si>
  <si>
    <t>Summary of Cash Revenue</t>
  </si>
  <si>
    <t>Livestock Sales</t>
  </si>
  <si>
    <t>Crop Sales</t>
  </si>
  <si>
    <t>Other</t>
  </si>
  <si>
    <t>TOTAL CASH REVENUE</t>
  </si>
  <si>
    <t>FARM EXPENSES</t>
  </si>
  <si>
    <t>Purchased Livestock</t>
  </si>
  <si>
    <t>Purchased Feed - Conc., Grain &amp; Forage</t>
  </si>
  <si>
    <t>Animal Health and Breeding</t>
  </si>
  <si>
    <t>Other (Livestock Stabztn., Barn Supplies)</t>
  </si>
  <si>
    <t>Crop Inputs - Seed and Plants</t>
  </si>
  <si>
    <t>Marketing and Transportation Costs</t>
  </si>
  <si>
    <t>Custom Work, Equipment Rent</t>
  </si>
  <si>
    <t>Hired Labour</t>
  </si>
  <si>
    <t>Machinery Expenses</t>
  </si>
  <si>
    <t>Building, Fence Repairs</t>
  </si>
  <si>
    <t>Heat, Electricity and Telephone</t>
  </si>
  <si>
    <t>Operating Interest</t>
  </si>
  <si>
    <t>Other Cash Operating Expenses</t>
  </si>
  <si>
    <t>Property Taxes, Fire &amp; Liability Ins.</t>
  </si>
  <si>
    <t>Lease and Rent Payments</t>
  </si>
  <si>
    <t>TOTAL CASH EXPENSES</t>
  </si>
  <si>
    <t>CASH (Surplus/Deficit)</t>
  </si>
  <si>
    <t>? High production, high equity herd considering expansion:</t>
  </si>
  <si>
    <t>? currently 9,000 litres sold/cow</t>
  </si>
  <si>
    <t>? currently selling approx. 20,000/yr. in cash crops</t>
  </si>
  <si>
    <t xml:space="preserve">? Expand from 56 to 80 cows </t>
  </si>
  <si>
    <t>? Build a new 100 cow free stall barn, but not filled to capacity</t>
  </si>
  <si>
    <t xml:space="preserve"> </t>
  </si>
  <si>
    <t>? Cost of Expansion</t>
  </si>
  <si>
    <t>? 24 kg of quota        = $392,640</t>
  </si>
  <si>
    <t xml:space="preserve">? new free stall barn, </t>
  </si>
  <si>
    <t>used parlour, some feed storage,</t>
  </si>
  <si>
    <t>+ $40,000 term loan</t>
  </si>
  <si>
    <t>refinanced                    =   500,000</t>
  </si>
  <si>
    <t>TOTAL                           $892,640</t>
  </si>
  <si>
    <t>? cash reserve will be used to purchased additional 24 cows</t>
  </si>
  <si>
    <t>? Feed requirements for an 80 cow herd:</t>
  </si>
  <si>
    <t>? Crops grown:</t>
  </si>
  <si>
    <t>40 acres corn silage</t>
  </si>
  <si>
    <t xml:space="preserve">          100 acres haylage/hay</t>
  </si>
  <si>
    <t xml:space="preserve">           50 acres corn</t>
  </si>
  <si>
    <t xml:space="preserve">           50 acres barley</t>
  </si>
  <si>
    <t xml:space="preserve">         240 acres</t>
  </si>
  <si>
    <t>? additional small grains will have to be purchased</t>
  </si>
  <si>
    <t>? Important financial notes to consider:</t>
  </si>
  <si>
    <t>? projected debt  @ $1.54/litre of milk sold</t>
  </si>
  <si>
    <t>? projected debt servicing 18¢/litre of milk sold</t>
  </si>
  <si>
    <t>EXPANSION ECONOMICS</t>
  </si>
  <si>
    <t>Actual Farm Situation</t>
  </si>
  <si>
    <t>Projected Farm Situation</t>
  </si>
  <si>
    <t>42¢</t>
  </si>
  <si>
    <t>Interest and Principal Payments</t>
  </si>
  <si>
    <t>Litres of Milk Sold within Quota</t>
  </si>
  <si>
    <t>Total Assets</t>
  </si>
  <si>
    <t>Debt per Litre of within Quota Milk Sold</t>
  </si>
  <si>
    <t xml:space="preserve"> - Number of head to Expand Herd (Not Replacements)</t>
  </si>
  <si>
    <t>Purchased Livestock - Normal Replacements</t>
  </si>
  <si>
    <t>Dairy Expansion Worksheet</t>
  </si>
  <si>
    <t xml:space="preserve"> - Other Grain</t>
  </si>
  <si>
    <t xml:space="preserve"> - Other Forage</t>
  </si>
  <si>
    <t xml:space="preserve">Interest </t>
  </si>
  <si>
    <t xml:space="preserve">     Annual Interest Cost for the Expansion</t>
  </si>
  <si>
    <t>Feed Page:</t>
  </si>
  <si>
    <t xml:space="preserve"> - Other (heifer barn and barn renovations)</t>
  </si>
  <si>
    <t xml:space="preserve"> - Pasture</t>
  </si>
  <si>
    <t>Tonnes Fed</t>
  </si>
  <si>
    <t>Tonnes Sold</t>
  </si>
  <si>
    <t>Avg Yield (as fed)</t>
  </si>
  <si>
    <t>tonnes/acre</t>
  </si>
  <si>
    <t>15 - 18</t>
  </si>
  <si>
    <t>3</t>
  </si>
  <si>
    <t>6 - 8</t>
  </si>
  <si>
    <t>0</t>
  </si>
  <si>
    <t xml:space="preserve"> - Dry Grain Corn  </t>
  </si>
  <si>
    <t xml:space="preserve"> - Barley/Mixed Grain</t>
  </si>
  <si>
    <t xml:space="preserve"> Total Acres</t>
  </si>
  <si>
    <t>Expansion Proposal</t>
  </si>
  <si>
    <t>Home-grown Feed Requirements</t>
  </si>
  <si>
    <t>Total Principal Payments</t>
  </si>
  <si>
    <t>CASH REVENUE MINUS CASH EXPENSES</t>
  </si>
  <si>
    <t xml:space="preserve">   Principal to be paid on Existing Debt</t>
  </si>
  <si>
    <t xml:space="preserve"> Acres/Cow</t>
  </si>
  <si>
    <t>Number of Cows (Milking and Dry)</t>
  </si>
  <si>
    <t>Debt Servicing</t>
  </si>
  <si>
    <t>Principal &amp; Interest for the Expansion</t>
  </si>
  <si>
    <t>Total Principal &amp; Interest Cost (Existing plus Proposal)</t>
  </si>
  <si>
    <t>Principal &amp; Interest per Litre of Milk Sold</t>
  </si>
  <si>
    <t xml:space="preserve">   Annual Quota Loan Cost (P &amp; I)</t>
  </si>
  <si>
    <t xml:space="preserve">     Annual Livestock Loan Cost (P &amp; I)</t>
  </si>
  <si>
    <t xml:space="preserve">     Annual Facility Loan Cost (P &amp; I)</t>
  </si>
  <si>
    <t>Principal &amp; Int. per Litre of within Quota Milk Sold</t>
  </si>
  <si>
    <t xml:space="preserve">   Interest to be paid on Existing Term Debt</t>
  </si>
  <si>
    <t xml:space="preserve">   Operating Interest</t>
  </si>
  <si>
    <t xml:space="preserve">     Principal &amp; Interest Cost for Existing Debt</t>
  </si>
  <si>
    <t xml:space="preserve">   Total Debt (Including Operating Loan)</t>
  </si>
  <si>
    <t>Quota Cost/Kg</t>
  </si>
  <si>
    <t>(monthly exchange)</t>
  </si>
  <si>
    <t>B)</t>
  </si>
  <si>
    <t>Calculating Quota Requirements</t>
  </si>
  <si>
    <t>Days in Year</t>
  </si>
  <si>
    <t>Required Quota per Cow (kgs)</t>
  </si>
  <si>
    <t>Quota Cost per Cow</t>
  </si>
  <si>
    <t>C)</t>
  </si>
  <si>
    <t>Net Return (from Required Quota/Cow)</t>
  </si>
  <si>
    <t>B.F.%</t>
  </si>
  <si>
    <t>Protein %</t>
  </si>
  <si>
    <t>Net Return per Cow</t>
  </si>
  <si>
    <t>Net Return (cents/litre)</t>
  </si>
  <si>
    <t>Net Return per Kg</t>
  </si>
  <si>
    <t>D)</t>
  </si>
  <si>
    <t>Length of Loan (years)</t>
  </si>
  <si>
    <t>Interest Rate</t>
  </si>
  <si>
    <t>Compounding Payments per Year</t>
  </si>
  <si>
    <t>E)</t>
  </si>
  <si>
    <t>Return over Debt Servicing to Cover Production Costs</t>
  </si>
  <si>
    <t>$ / year</t>
  </si>
  <si>
    <t>¢ / litre</t>
  </si>
  <si>
    <t>Payment ( ¢ / litre)</t>
  </si>
  <si>
    <t>A)</t>
  </si>
  <si>
    <t>Milk Sold/Cow/Year</t>
  </si>
  <si>
    <t>N/A</t>
  </si>
  <si>
    <t>Less Deductions</t>
  </si>
  <si>
    <t>Butterfat Kg/hL</t>
  </si>
  <si>
    <t>Protein per Kg/hL</t>
  </si>
  <si>
    <t>Other Solids Kg/hL (o/s)</t>
  </si>
  <si>
    <t>Deductions</t>
  </si>
  <si>
    <t>Transportation</t>
  </si>
  <si>
    <t>Promotion</t>
  </si>
  <si>
    <t>Total</t>
  </si>
  <si>
    <t>Within Quota Prices</t>
  </si>
  <si>
    <t>Butterfat Kg</t>
  </si>
  <si>
    <t>Protein per Kg</t>
  </si>
  <si>
    <t>Other Solids Kg (o/s)</t>
  </si>
  <si>
    <t>Net Within Quota Price</t>
  </si>
  <si>
    <t>Milk Pricing Information</t>
  </si>
  <si>
    <t>Over Quota Prices</t>
  </si>
  <si>
    <t>Option 1</t>
  </si>
  <si>
    <t>Option 2</t>
  </si>
  <si>
    <t>Option 3</t>
  </si>
  <si>
    <t>Option 4</t>
  </si>
  <si>
    <t>The Dairy Expansion Workbook is an analysis tool to calculate the</t>
  </si>
  <si>
    <t>feasibility of a farm expansion.  It should be noted that income tax</t>
  </si>
  <si>
    <t>effect of an expansion, which is not dealt with in this program,  can</t>
  </si>
  <si>
    <t>have a major effect on cash flow requirements.</t>
  </si>
  <si>
    <t>PROGRAM DETAILS</t>
  </si>
  <si>
    <t xml:space="preserve">Report Page: </t>
  </si>
  <si>
    <t>This page is for projecting the revenue and expenses for an expanded</t>
  </si>
  <si>
    <t>dairy operation.</t>
  </si>
  <si>
    <t xml:space="preserve">The Report Page uses data entered on other pages in the workbook. </t>
  </si>
  <si>
    <t>Equity, Kg of Quota purchased and operating interest are linked to</t>
  </si>
  <si>
    <t>the Expansion page.  Interest and principal payments are obtained</t>
  </si>
  <si>
    <t>from the Loan page.  The prices for fat, protein, other solids and</t>
  </si>
  <si>
    <t>The amount of milk sold is based on the number of cows and the</t>
  </si>
  <si>
    <t>production per cow.  The amount of fat quota is based on the amount</t>
  </si>
  <si>
    <t>entered as existing quota (B7). The projection takes the existing</t>
  </si>
  <si>
    <t>quota and adds on the amount purchased as entered on the Expansion</t>
  </si>
  <si>
    <t>page.</t>
  </si>
  <si>
    <t xml:space="preserve">Most of the projected revenue and expense values are calculated. </t>
  </si>
  <si>
    <t>This is done by taking the existing revenue or expense values and</t>
  </si>
  <si>
    <t>increasing them in proportion to increase in cow numbers.  If this</t>
  </si>
  <si>
    <t>projection is not realistic for a particular situation you can over-</t>
  </si>
  <si>
    <t>ride the projection by entering a percent change in column C for the</t>
  </si>
  <si>
    <t>specific revenue or expense.  Using crop expenses as an example, if</t>
  </si>
  <si>
    <t>If crop expenses are expected to double enter 100 or if they are</t>
  </si>
  <si>
    <t>applies to all cells in column C with a light blue background.</t>
  </si>
  <si>
    <t>It is possible to override the numbers in the projection (Column D)</t>
  </si>
  <si>
    <t xml:space="preserve">but do so with caution.  </t>
  </si>
  <si>
    <t>The program has two sections for entering livestock purchases.  On</t>
  </si>
  <si>
    <t>the Expansion page you enter one time livestock purchases associated</t>
  </si>
  <si>
    <t>with the expansion.  On the Report Page you enter normal replacement</t>
  </si>
  <si>
    <t>purchases.</t>
  </si>
  <si>
    <t>Expansion Page:</t>
  </si>
  <si>
    <t>This page is for recording the assets and liabilities of the</t>
  </si>
  <si>
    <t>existing operation and the projected costs of buildings, quota and</t>
  </si>
  <si>
    <t>livestock needed for the expansion.  The program assumes the</t>
  </si>
  <si>
    <t xml:space="preserve">expansion will be done with borrowed money.  </t>
  </si>
  <si>
    <t>It is suggested to complete this page before the Report Page.</t>
  </si>
  <si>
    <t>The program assumes the expansion uses borrowed capital, therefore</t>
  </si>
  <si>
    <t>loan particulars are carried forward from the Expansion page.  This</t>
  </si>
  <si>
    <t>page is used to record the loan details such as interest rate, term</t>
  </si>
  <si>
    <t>and payments.   Interest and principal payments for the expansion are</t>
  </si>
  <si>
    <t>referenced by calculations on the Report Page.</t>
  </si>
  <si>
    <t>It is suggested that you review the information on this page before</t>
  </si>
  <si>
    <t>moving on to the Report Page.</t>
  </si>
  <si>
    <t>This page is designed to make a projection of home-grown feed</t>
  </si>
  <si>
    <t xml:space="preserve">The feed page is not referenced by any formulas on any other pages. </t>
  </si>
  <si>
    <t>(Quota) Options Page:</t>
  </si>
  <si>
    <t>farm expansion including no change, which is to ship over quota</t>
  </si>
  <si>
    <t>Quota Economics Page:</t>
  </si>
  <si>
    <t>The Quota Economics Calculator is a separate tool and is not linked</t>
  </si>
  <si>
    <t>to by other pages of the Dairy Expansion program.  By entering the</t>
  </si>
  <si>
    <t>cost of quota and the production of a typical cow this calculator</t>
  </si>
  <si>
    <t>will show the amount of quota required, net returns, debt servicing</t>
  </si>
  <si>
    <t>cost, returns over debt servicing and net return for over quota milk.</t>
  </si>
  <si>
    <t xml:space="preserve">This page is used to record the prices and deductions for milk. </t>
  </si>
  <si>
    <t>These values are used to calculate revenue on the Report Page and to</t>
  </si>
  <si>
    <t>calculate returns per cow on the QuotaEcon page.  Cells with blue</t>
  </si>
  <si>
    <t>text can be updated to current values.</t>
  </si>
  <si>
    <t>The workbook is made up of  7 pages in addition to the Notes page.</t>
  </si>
  <si>
    <t>Net Return for Contract Milk ( ¢ /litre)</t>
  </si>
  <si>
    <t>Payment (P + I / yr) per cow</t>
  </si>
  <si>
    <t>Annual Interest Cost (first year)</t>
  </si>
  <si>
    <t>Milk (with in quota)</t>
  </si>
  <si>
    <t>CP/Yr</t>
  </si>
  <si>
    <t>Litres of Milk under Quota</t>
  </si>
  <si>
    <t>Consider other combinations              A</t>
  </si>
  <si>
    <t>Consider other combinations              B</t>
  </si>
  <si>
    <t>PMT/yr</t>
  </si>
  <si>
    <t>Payment</t>
  </si>
  <si>
    <t>Interest</t>
  </si>
  <si>
    <t>Annual payments</t>
  </si>
  <si>
    <t>Interest rate</t>
  </si>
  <si>
    <t>Years</t>
  </si>
  <si>
    <t>Amount</t>
  </si>
  <si>
    <t>Base Herd After Proposed Expansion</t>
  </si>
  <si>
    <t>Principal &amp; Interest per Litre of within Quota Milk Sold</t>
  </si>
  <si>
    <t>H)</t>
  </si>
  <si>
    <t>DHI Fees</t>
  </si>
  <si>
    <t>%</t>
  </si>
  <si>
    <t>% Protein</t>
  </si>
  <si>
    <t>% Butterfat</t>
  </si>
  <si>
    <t>% Other Solids</t>
  </si>
  <si>
    <t>Othe Solids %</t>
  </si>
  <si>
    <t xml:space="preserve">  Other Solids</t>
  </si>
  <si>
    <t xml:space="preserve">   Other Solids</t>
  </si>
  <si>
    <t>Data entry cells are in blue. Most data areas have default information</t>
  </si>
  <si>
    <t>that can be changed.  It is expected that you type over these default</t>
  </si>
  <si>
    <t>values to fit the your project.</t>
  </si>
  <si>
    <t>requirements for the expanded dairy operation.  Average yields are</t>
  </si>
  <si>
    <t xml:space="preserve">indicated but they may vary from farm to farm.  </t>
  </si>
  <si>
    <t>milk. In addition, there are two additional columns that can be used</t>
  </si>
  <si>
    <t xml:space="preserve">to try out other scenarios. </t>
  </si>
  <si>
    <t>Component Tests</t>
  </si>
  <si>
    <t xml:space="preserve">Over Quota Milk at World Price is Between 100% and  </t>
  </si>
  <si>
    <t>deductions are obtained from the MIlkPrice page.</t>
  </si>
  <si>
    <t>Milk Sold per Cow per Year</t>
  </si>
  <si>
    <t>Machinery &amp; Equipment Repair</t>
  </si>
  <si>
    <t>Accounting., Legal, Office Expenses</t>
  </si>
  <si>
    <t>litres</t>
  </si>
  <si>
    <t>they are expected to increase in proportion to the number of cows C36</t>
  </si>
  <si>
    <t>The Quota Options shows the result of two different approaches to</t>
  </si>
  <si>
    <t>Litres of milk sold Over Quota</t>
  </si>
  <si>
    <t xml:space="preserve">F) </t>
  </si>
  <si>
    <t>Administration</t>
  </si>
  <si>
    <t>Research</t>
  </si>
  <si>
    <t>Over Quota Milk</t>
  </si>
  <si>
    <t>Net Over Quota Price</t>
  </si>
  <si>
    <t>Milk Within Quota</t>
  </si>
  <si>
    <t>Milk Sold Over Quota</t>
  </si>
  <si>
    <t>Net Return for Over Quota Milk</t>
  </si>
  <si>
    <t xml:space="preserve">    Farm SNF Ratio</t>
  </si>
  <si>
    <t>Farm Solids Non Fat to Fat Ratio (SNF)</t>
  </si>
  <si>
    <t>Maximum Allowed SNF Ratio</t>
  </si>
  <si>
    <t>Reduction for High SNF Ratio</t>
  </si>
  <si>
    <t>kg bf in quota</t>
  </si>
  <si>
    <t>max snf kg</t>
  </si>
  <si>
    <t>snf shipped in quota</t>
  </si>
  <si>
    <t>kg  p in quota</t>
  </si>
  <si>
    <t>kg OS in quota</t>
  </si>
  <si>
    <t>amount over Protein kg</t>
  </si>
  <si>
    <t>amount over OS kg</t>
  </si>
  <si>
    <t xml:space="preserve">  SNF Ratio</t>
  </si>
  <si>
    <t xml:space="preserve"> Proposed quota covers</t>
  </si>
  <si>
    <t xml:space="preserve"> Current quota covers</t>
  </si>
  <si>
    <t xml:space="preserve"> Butterfat</t>
  </si>
  <si>
    <t xml:space="preserve"> Protein</t>
  </si>
  <si>
    <t xml:space="preserve"> Other Solids</t>
  </si>
  <si>
    <t>Component Test %</t>
  </si>
  <si>
    <t>Deductions $/ hl</t>
  </si>
  <si>
    <t>Within Quota Price $/kg</t>
  </si>
  <si>
    <t>Over    Quota Price $/kg</t>
  </si>
  <si>
    <t>Building Loan</t>
  </si>
  <si>
    <t>Purchase/(sell) quota to cover over/(under) quota production</t>
  </si>
  <si>
    <t xml:space="preserve">        Additional quota purchase/(sale)</t>
  </si>
  <si>
    <t>Change in Loan Requirements for Alternatives on Options Page</t>
  </si>
  <si>
    <t>`</t>
  </si>
  <si>
    <t xml:space="preserve">  The values enterd for the length of loan, the number of payments per year </t>
  </si>
  <si>
    <t xml:space="preserve">  and the number of compounding periods per year must be greater than zero.</t>
  </si>
  <si>
    <t xml:space="preserve">  The interest rate and the amount of the loan must be zero or higher.</t>
  </si>
  <si>
    <t>Milk Price and Test Page:</t>
  </si>
  <si>
    <t xml:space="preserve">should be empty.  To do this go to cell C34 and delete the contents. </t>
  </si>
  <si>
    <t>expected to increase by 40% enter 40 in cell C34.  This approach</t>
  </si>
  <si>
    <t>Change in Loan Requirements Compared to Option 1</t>
  </si>
  <si>
    <t>Change in Loan Amount</t>
  </si>
  <si>
    <t>Annual Interest</t>
  </si>
  <si>
    <t>Annual Payments</t>
  </si>
  <si>
    <t xml:space="preserve"> Quota Options……SZL</t>
  </si>
  <si>
    <t>Quota Economics SZL</t>
  </si>
  <si>
    <t>SZL……….Expansion Economics……SZL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</si>
</sst>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&quot;$&quot;#,##0"/>
    <numFmt numFmtId="175" formatCode="#,##0.0"/>
    <numFmt numFmtId="176" formatCode="&quot;$&quot;#,##0.00"/>
    <numFmt numFmtId="177" formatCode="mmmm\ d\,\ yyyy"/>
    <numFmt numFmtId="178" formatCode="0.0"/>
    <numFmt numFmtId="179" formatCode="0.0%"/>
    <numFmt numFmtId="180" formatCode="0.000"/>
    <numFmt numFmtId="181" formatCode="&quot;$&quot;#,##0.000"/>
    <numFmt numFmtId="182" formatCode="#,##0.0000000000"/>
    <numFmt numFmtId="183" formatCode="_-* #,##0.000_-;\-* #,##0.000_-;_-* &quot;-&quot;??_-;_-@_-"/>
    <numFmt numFmtId="184" formatCode="_-&quot;$&quot;* #,##0_-;\-&quot;$&quot;* #,##0_-;_-&quot;$&quot;* &quot;-&quot;??_-;_-@_-"/>
    <numFmt numFmtId="185" formatCode="[$$-1009]#,##0.000;[Red]\-[$$-1009]#,##0.000"/>
    <numFmt numFmtId="186" formatCode="[$$-409]#,##0.000_);[Red]\([$$-409]#,##0.000\)"/>
    <numFmt numFmtId="187" formatCode="_(* #,##0_);_(* \(#,##0\);_(* &quot;-&quot;??_);_(@_)"/>
    <numFmt numFmtId="188" formatCode="0_);\(0\)"/>
    <numFmt numFmtId="189" formatCode="[$SZL]\ #,##0"/>
    <numFmt numFmtId="190" formatCode="[$SZL]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i/>
      <sz val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 style="double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 quotePrefix="1">
      <alignment/>
    </xf>
    <xf numFmtId="17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 quotePrefix="1">
      <alignment horizontal="center"/>
    </xf>
    <xf numFmtId="3" fontId="4" fillId="0" borderId="0" xfId="0" applyNumberFormat="1" applyFont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Alignment="1">
      <alignment horizontal="center"/>
    </xf>
    <xf numFmtId="176" fontId="2" fillId="0" borderId="0" xfId="0" applyNumberFormat="1" applyFont="1" applyAlignment="1">
      <alignment/>
    </xf>
    <xf numFmtId="174" fontId="2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 quotePrefix="1">
      <alignment/>
    </xf>
    <xf numFmtId="177" fontId="0" fillId="33" borderId="0" xfId="0" applyNumberFormat="1" applyFill="1" applyAlignment="1">
      <alignment horizontal="center"/>
    </xf>
    <xf numFmtId="0" fontId="0" fillId="0" borderId="0" xfId="0" applyFont="1" applyAlignment="1">
      <alignment/>
    </xf>
    <xf numFmtId="165" fontId="2" fillId="0" borderId="0" xfId="44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Font="1" applyAlignment="1" quotePrefix="1">
      <alignment/>
    </xf>
    <xf numFmtId="179" fontId="2" fillId="0" borderId="0" xfId="59" applyNumberFormat="1" applyFont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177" fontId="0" fillId="33" borderId="0" xfId="0" applyNumberFormat="1" applyFill="1" applyAlignment="1">
      <alignment horizontal="centerContinuous"/>
    </xf>
    <xf numFmtId="0" fontId="2" fillId="0" borderId="0" xfId="0" applyFont="1" applyAlignment="1">
      <alignment horizontal="centerContinuous"/>
    </xf>
    <xf numFmtId="3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178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175" fontId="5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0" fontId="0" fillId="0" borderId="0" xfId="0" applyFill="1" applyAlignment="1">
      <alignment/>
    </xf>
    <xf numFmtId="171" fontId="0" fillId="0" borderId="0" xfId="42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right"/>
    </xf>
    <xf numFmtId="0" fontId="5" fillId="0" borderId="14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165" fontId="0" fillId="0" borderId="0" xfId="0" applyNumberFormat="1" applyAlignment="1">
      <alignment/>
    </xf>
    <xf numFmtId="0" fontId="2" fillId="0" borderId="12" xfId="0" applyFont="1" applyBorder="1" applyAlignment="1">
      <alignment/>
    </xf>
    <xf numFmtId="3" fontId="5" fillId="0" borderId="14" xfId="0" applyNumberFormat="1" applyFont="1" applyBorder="1" applyAlignment="1" applyProtection="1">
      <alignment/>
      <protection locked="0"/>
    </xf>
    <xf numFmtId="177" fontId="0" fillId="33" borderId="0" xfId="0" applyNumberFormat="1" applyFill="1" applyBorder="1" applyAlignment="1">
      <alignment horizontal="left"/>
    </xf>
    <xf numFmtId="177" fontId="0" fillId="33" borderId="0" xfId="0" applyNumberForma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4" xfId="0" applyBorder="1" applyAlignment="1" quotePrefix="1">
      <alignment horizontal="right"/>
    </xf>
    <xf numFmtId="0" fontId="5" fillId="0" borderId="15" xfId="0" applyFont="1" applyBorder="1" applyAlignment="1" applyProtection="1">
      <alignment/>
      <protection locked="0"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2" fillId="0" borderId="19" xfId="0" applyFont="1" applyBorder="1" applyAlignment="1">
      <alignment/>
    </xf>
    <xf numFmtId="178" fontId="0" fillId="0" borderId="14" xfId="0" applyNumberFormat="1" applyBorder="1" applyAlignment="1">
      <alignment/>
    </xf>
    <xf numFmtId="0" fontId="9" fillId="0" borderId="0" xfId="0" applyFont="1" applyAlignment="1">
      <alignment/>
    </xf>
    <xf numFmtId="1" fontId="5" fillId="0" borderId="14" xfId="0" applyNumberFormat="1" applyFont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175" fontId="5" fillId="0" borderId="0" xfId="0" applyNumberFormat="1" applyFont="1" applyAlignment="1" applyProtection="1">
      <alignment/>
      <protection locked="0"/>
    </xf>
    <xf numFmtId="0" fontId="5" fillId="0" borderId="14" xfId="0" applyFont="1" applyBorder="1" applyAlignment="1" applyProtection="1">
      <alignment horizontal="right"/>
      <protection locked="0"/>
    </xf>
    <xf numFmtId="181" fontId="0" fillId="0" borderId="0" xfId="0" applyNumberFormat="1" applyAlignment="1">
      <alignment/>
    </xf>
    <xf numFmtId="176" fontId="5" fillId="0" borderId="0" xfId="0" applyNumberFormat="1" applyFont="1" applyAlignment="1" applyProtection="1">
      <alignment/>
      <protection locked="0"/>
    </xf>
    <xf numFmtId="176" fontId="2" fillId="0" borderId="10" xfId="0" applyNumberFormat="1" applyFont="1" applyBorder="1" applyAlignment="1">
      <alignment/>
    </xf>
    <xf numFmtId="1" fontId="0" fillId="0" borderId="0" xfId="0" applyNumberFormat="1" applyAlignment="1" quotePrefix="1">
      <alignment/>
    </xf>
    <xf numFmtId="182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17" xfId="0" applyBorder="1" applyAlignment="1" quotePrefix="1">
      <alignment horizontal="left"/>
    </xf>
    <xf numFmtId="0" fontId="0" fillId="0" borderId="0" xfId="0" applyAlignment="1" quotePrefix="1">
      <alignment horizontal="center" wrapText="1"/>
    </xf>
    <xf numFmtId="0" fontId="0" fillId="0" borderId="0" xfId="0" applyAlignment="1" quotePrefix="1">
      <alignment horizontal="center"/>
    </xf>
    <xf numFmtId="173" fontId="0" fillId="0" borderId="0" xfId="42" applyNumberFormat="1" applyFont="1" applyAlignment="1">
      <alignment/>
    </xf>
    <xf numFmtId="17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Alignment="1" quotePrefix="1">
      <alignment horizontal="center" vertical="top" wrapText="1"/>
    </xf>
    <xf numFmtId="173" fontId="0" fillId="0" borderId="0" xfId="42" applyNumberFormat="1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0" fontId="2" fillId="0" borderId="0" xfId="0" applyFont="1" applyAlignment="1" quotePrefix="1">
      <alignment horizontal="left" wrapText="1"/>
    </xf>
    <xf numFmtId="2" fontId="0" fillId="0" borderId="0" xfId="0" applyNumberFormat="1" applyAlignment="1" quotePrefix="1">
      <alignment horizontal="center"/>
    </xf>
    <xf numFmtId="183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4" fillId="0" borderId="0" xfId="0" applyFont="1" applyAlignment="1">
      <alignment/>
    </xf>
    <xf numFmtId="4" fontId="0" fillId="0" borderId="0" xfId="0" applyNumberFormat="1" applyFont="1" applyAlignment="1" applyProtection="1">
      <alignment/>
      <protection/>
    </xf>
    <xf numFmtId="185" fontId="0" fillId="0" borderId="0" xfId="45" applyNumberFormat="1" applyFont="1" applyAlignment="1">
      <alignment/>
    </xf>
    <xf numFmtId="40" fontId="0" fillId="0" borderId="10" xfId="0" applyNumberForma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172" fontId="13" fillId="0" borderId="0" xfId="42" applyNumberFormat="1" applyFont="1" applyAlignment="1" applyProtection="1">
      <alignment horizontal="left"/>
      <protection locked="0"/>
    </xf>
    <xf numFmtId="9" fontId="0" fillId="0" borderId="0" xfId="59" applyFont="1" applyAlignment="1" quotePrefix="1">
      <alignment horizontal="left"/>
    </xf>
    <xf numFmtId="1" fontId="5" fillId="0" borderId="14" xfId="0" applyNumberFormat="1" applyFont="1" applyBorder="1" applyAlignment="1" applyProtection="1">
      <alignment horizontal="right"/>
      <protection locked="0"/>
    </xf>
    <xf numFmtId="3" fontId="0" fillId="0" borderId="0" xfId="0" applyNumberFormat="1" applyBorder="1" applyAlignment="1" quotePrefix="1">
      <alignment/>
    </xf>
    <xf numFmtId="0" fontId="0" fillId="0" borderId="0" xfId="0" applyFont="1" applyBorder="1" applyAlignment="1" quotePrefix="1">
      <alignment horizontal="left"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Border="1" applyAlignment="1" quotePrefix="1">
      <alignment horizontal="left"/>
    </xf>
    <xf numFmtId="2" fontId="0" fillId="0" borderId="0" xfId="0" applyNumberFormat="1" applyFont="1" applyBorder="1" applyAlignment="1" applyProtection="1">
      <alignment/>
      <protection/>
    </xf>
    <xf numFmtId="172" fontId="0" fillId="0" borderId="0" xfId="42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9" fontId="0" fillId="0" borderId="0" xfId="0" applyNumberFormat="1" applyFont="1" applyBorder="1" applyAlignment="1" applyProtection="1">
      <alignment/>
      <protection/>
    </xf>
    <xf numFmtId="9" fontId="0" fillId="0" borderId="0" xfId="59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175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9" fontId="0" fillId="0" borderId="0" xfId="59" applyFont="1" applyAlignment="1" quotePrefix="1">
      <alignment horizontal="center"/>
    </xf>
    <xf numFmtId="3" fontId="0" fillId="0" borderId="0" xfId="42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13" fillId="0" borderId="0" xfId="0" applyFont="1" applyAlignment="1" applyProtection="1">
      <alignment/>
      <protection locked="0"/>
    </xf>
    <xf numFmtId="0" fontId="0" fillId="0" borderId="0" xfId="0" applyBorder="1" applyAlignment="1">
      <alignment horizontal="left"/>
    </xf>
    <xf numFmtId="7" fontId="5" fillId="0" borderId="0" xfId="0" applyNumberFormat="1" applyFont="1" applyAlignment="1" applyProtection="1">
      <alignment/>
      <protection/>
    </xf>
    <xf numFmtId="0" fontId="0" fillId="0" borderId="0" xfId="0" applyAlignment="1">
      <alignment horizontal="left"/>
    </xf>
    <xf numFmtId="0" fontId="2" fillId="0" borderId="10" xfId="0" applyFont="1" applyBorder="1" applyAlignment="1" quotePrefix="1">
      <alignment horizontal="left"/>
    </xf>
    <xf numFmtId="7" fontId="5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quotePrefix="1">
      <alignment horizontal="left"/>
    </xf>
    <xf numFmtId="171" fontId="0" fillId="0" borderId="0" xfId="42" applyFont="1" applyBorder="1" applyAlignment="1">
      <alignment/>
    </xf>
    <xf numFmtId="171" fontId="5" fillId="0" borderId="0" xfId="42" applyFont="1" applyBorder="1" applyAlignment="1" applyProtection="1">
      <alignment/>
      <protection locked="0"/>
    </xf>
    <xf numFmtId="0" fontId="0" fillId="0" borderId="0" xfId="0" applyFill="1" applyAlignment="1">
      <alignment horizontal="left"/>
    </xf>
    <xf numFmtId="37" fontId="15" fillId="0" borderId="0" xfId="0" applyNumberFormat="1" applyFont="1" applyFill="1" applyBorder="1" applyAlignment="1" applyProtection="1">
      <alignment horizontal="right"/>
      <protection/>
    </xf>
    <xf numFmtId="187" fontId="15" fillId="0" borderId="0" xfId="42" applyNumberFormat="1" applyFont="1" applyAlignment="1" quotePrefix="1">
      <alignment horizontal="left"/>
    </xf>
    <xf numFmtId="37" fontId="15" fillId="0" borderId="0" xfId="0" applyNumberFormat="1" applyFont="1" applyFill="1" applyBorder="1" applyAlignment="1" applyProtection="1" quotePrefix="1">
      <alignment horizontal="right"/>
      <protection/>
    </xf>
    <xf numFmtId="187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17" fillId="0" borderId="0" xfId="0" applyNumberFormat="1" applyFont="1" applyFill="1" applyBorder="1" applyAlignment="1" applyProtection="1">
      <alignment horizontal="right"/>
      <protection/>
    </xf>
    <xf numFmtId="37" fontId="17" fillId="0" borderId="0" xfId="0" applyNumberFormat="1" applyFont="1" applyFill="1" applyBorder="1" applyAlignment="1" applyProtection="1" quotePrefix="1">
      <alignment horizontal="right"/>
      <protection/>
    </xf>
    <xf numFmtId="0" fontId="18" fillId="0" borderId="0" xfId="0" applyFont="1" applyAlignment="1">
      <alignment horizontal="right"/>
    </xf>
    <xf numFmtId="43" fontId="15" fillId="0" borderId="0" xfId="42" applyNumberFormat="1" applyFont="1" applyAlignment="1" quotePrefix="1">
      <alignment horizontal="left"/>
    </xf>
    <xf numFmtId="43" fontId="0" fillId="0" borderId="0" xfId="42" applyNumberFormat="1" applyFont="1" applyAlignment="1">
      <alignment/>
    </xf>
    <xf numFmtId="0" fontId="14" fillId="0" borderId="0" xfId="0" applyFont="1" applyBorder="1" applyAlignment="1" quotePrefix="1">
      <alignment horizontal="center" wrapText="1"/>
    </xf>
    <xf numFmtId="0" fontId="2" fillId="0" borderId="0" xfId="0" applyFont="1" applyBorder="1" applyAlignment="1" quotePrefix="1">
      <alignment horizontal="right"/>
    </xf>
    <xf numFmtId="0" fontId="0" fillId="0" borderId="0" xfId="0" applyFont="1" applyBorder="1" applyAlignment="1" applyProtection="1">
      <alignment/>
      <protection/>
    </xf>
    <xf numFmtId="175" fontId="0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74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164" fontId="2" fillId="0" borderId="0" xfId="45" applyNumberFormat="1" applyFont="1" applyBorder="1" applyAlignment="1" applyProtection="1">
      <alignment/>
      <protection/>
    </xf>
    <xf numFmtId="167" fontId="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quotePrefix="1">
      <alignment horizontal="center" vertical="center" wrapText="1"/>
    </xf>
    <xf numFmtId="0" fontId="0" fillId="0" borderId="0" xfId="0" applyBorder="1" applyAlignment="1" quotePrefix="1">
      <alignment horizontal="center" vertical="top" wrapText="1"/>
    </xf>
    <xf numFmtId="0" fontId="0" fillId="0" borderId="0" xfId="0" applyBorder="1" applyAlignment="1" quotePrefix="1">
      <alignment horizontal="center"/>
    </xf>
    <xf numFmtId="3" fontId="0" fillId="0" borderId="0" xfId="42" applyNumberFormat="1" applyFont="1" applyBorder="1" applyAlignment="1">
      <alignment/>
    </xf>
    <xf numFmtId="0" fontId="0" fillId="33" borderId="20" xfId="0" applyFill="1" applyBorder="1" applyAlignment="1" quotePrefix="1">
      <alignment horizontal="left"/>
    </xf>
    <xf numFmtId="0" fontId="0" fillId="33" borderId="21" xfId="0" applyFill="1" applyBorder="1" applyAlignment="1">
      <alignment/>
    </xf>
    <xf numFmtId="173" fontId="0" fillId="33" borderId="22" xfId="42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Font="1" applyAlignment="1" applyProtection="1" quotePrefix="1">
      <alignment horizontal="center" wrapText="1"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/>
      <protection locked="0"/>
    </xf>
    <xf numFmtId="173" fontId="15" fillId="0" borderId="0" xfId="42" applyNumberFormat="1" applyFont="1" applyAlignment="1" quotePrefix="1">
      <alignment horizontal="left"/>
    </xf>
    <xf numFmtId="187" fontId="15" fillId="0" borderId="0" xfId="42" applyNumberFormat="1" applyFont="1" applyBorder="1" applyAlignment="1" quotePrefix="1">
      <alignment horizontal="left"/>
    </xf>
    <xf numFmtId="187" fontId="0" fillId="0" borderId="0" xfId="0" applyNumberFormat="1" applyBorder="1" applyAlignment="1">
      <alignment/>
    </xf>
    <xf numFmtId="188" fontId="19" fillId="0" borderId="0" xfId="42" applyNumberFormat="1" applyFont="1" applyAlignment="1">
      <alignment horizontal="center"/>
    </xf>
    <xf numFmtId="3" fontId="20" fillId="0" borderId="0" xfId="0" applyNumberFormat="1" applyFont="1" applyFill="1" applyAlignment="1" applyProtection="1">
      <alignment horizontal="center"/>
      <protection locked="0"/>
    </xf>
    <xf numFmtId="188" fontId="19" fillId="0" borderId="0" xfId="42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88" fontId="20" fillId="0" borderId="0" xfId="42" applyNumberFormat="1" applyFont="1" applyFill="1" applyBorder="1" applyAlignment="1" applyProtection="1">
      <alignment horizontal="center"/>
      <protection locked="0"/>
    </xf>
    <xf numFmtId="188" fontId="20" fillId="0" borderId="11" xfId="42" applyNumberFormat="1" applyFont="1" applyFill="1" applyBorder="1" applyAlignment="1" applyProtection="1">
      <alignment horizontal="center"/>
      <protection locked="0"/>
    </xf>
    <xf numFmtId="177" fontId="0" fillId="33" borderId="0" xfId="0" applyNumberFormat="1" applyFont="1" applyFill="1" applyAlignment="1">
      <alignment horizontal="centerContinuous"/>
    </xf>
    <xf numFmtId="0" fontId="5" fillId="0" borderId="0" xfId="0" applyFont="1" applyAlignment="1" applyProtection="1">
      <alignment/>
      <protection locked="0"/>
    </xf>
    <xf numFmtId="0" fontId="2" fillId="0" borderId="13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175" fontId="0" fillId="0" borderId="0" xfId="0" applyNumberFormat="1" applyAlignment="1">
      <alignment horizontal="center"/>
    </xf>
    <xf numFmtId="3" fontId="0" fillId="0" borderId="0" xfId="0" applyNumberFormat="1" applyAlignment="1" quotePrefix="1">
      <alignment horizontal="center"/>
    </xf>
    <xf numFmtId="4" fontId="0" fillId="0" borderId="0" xfId="0" applyNumberFormat="1" applyAlignment="1">
      <alignment horizontal="center"/>
    </xf>
    <xf numFmtId="4" fontId="5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3" fontId="5" fillId="0" borderId="0" xfId="0" applyNumberFormat="1" applyFont="1" applyAlignment="1" applyProtection="1">
      <alignment horizontal="center"/>
      <protection locked="0"/>
    </xf>
    <xf numFmtId="9" fontId="0" fillId="0" borderId="0" xfId="0" applyNumberFormat="1" applyFont="1" applyAlignment="1" applyProtection="1">
      <alignment horizontal="center"/>
      <protection/>
    </xf>
    <xf numFmtId="176" fontId="2" fillId="0" borderId="0" xfId="0" applyNumberFormat="1" applyFont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0" fillId="0" borderId="0" xfId="0" applyNumberFormat="1" applyFill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0" fontId="21" fillId="34" borderId="25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0" fontId="16" fillId="0" borderId="0" xfId="53" applyAlignment="1" applyProtection="1">
      <alignment horizontal="center"/>
      <protection/>
    </xf>
    <xf numFmtId="0" fontId="18" fillId="0" borderId="0" xfId="0" applyFont="1" applyAlignment="1" quotePrefix="1">
      <alignment horizontal="left"/>
    </xf>
    <xf numFmtId="0" fontId="18" fillId="0" borderId="0" xfId="0" applyFont="1" applyAlignment="1" quotePrefix="1">
      <alignment horizontal="center"/>
    </xf>
    <xf numFmtId="38" fontId="0" fillId="0" borderId="0" xfId="42" applyNumberFormat="1" applyFont="1" applyAlignment="1">
      <alignment/>
    </xf>
    <xf numFmtId="0" fontId="0" fillId="0" borderId="0" xfId="0" applyAlignment="1" quotePrefix="1">
      <alignment horizontal="right"/>
    </xf>
    <xf numFmtId="0" fontId="0" fillId="0" borderId="0" xfId="0" applyBorder="1" applyAlignment="1" quotePrefix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 quotePrefix="1">
      <alignment horizontal="center"/>
    </xf>
    <xf numFmtId="0" fontId="10" fillId="34" borderId="28" xfId="0" applyFont="1" applyFill="1" applyBorder="1" applyAlignment="1">
      <alignment horizontal="center"/>
    </xf>
    <xf numFmtId="0" fontId="10" fillId="34" borderId="28" xfId="0" applyFont="1" applyFill="1" applyBorder="1" applyAlignment="1">
      <alignment/>
    </xf>
    <xf numFmtId="0" fontId="10" fillId="34" borderId="29" xfId="0" applyFont="1" applyFill="1" applyBorder="1" applyAlignment="1">
      <alignment/>
    </xf>
    <xf numFmtId="0" fontId="10" fillId="34" borderId="15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10" fillId="34" borderId="30" xfId="0" applyFont="1" applyFill="1" applyBorder="1" applyAlignment="1">
      <alignment/>
    </xf>
    <xf numFmtId="0" fontId="10" fillId="34" borderId="28" xfId="0" applyFont="1" applyFill="1" applyBorder="1" applyAlignment="1" quotePrefix="1">
      <alignment/>
    </xf>
    <xf numFmtId="0" fontId="10" fillId="34" borderId="31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3" fillId="0" borderId="32" xfId="0" applyFont="1" applyBorder="1" applyAlignment="1" quotePrefix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 quotePrefix="1">
      <alignment/>
    </xf>
    <xf numFmtId="0" fontId="3" fillId="0" borderId="0" xfId="0" applyFont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 quotePrefix="1">
      <alignment/>
    </xf>
    <xf numFmtId="177" fontId="8" fillId="33" borderId="15" xfId="0" applyNumberFormat="1" applyFont="1" applyFill="1" applyBorder="1" applyAlignment="1">
      <alignment/>
    </xf>
    <xf numFmtId="177" fontId="8" fillId="33" borderId="12" xfId="0" applyNumberFormat="1" applyFont="1" applyFill="1" applyBorder="1" applyAlignment="1">
      <alignment/>
    </xf>
    <xf numFmtId="177" fontId="8" fillId="33" borderId="16" xfId="0" applyNumberFormat="1" applyFont="1" applyFill="1" applyBorder="1" applyAlignment="1">
      <alignment/>
    </xf>
    <xf numFmtId="0" fontId="3" fillId="0" borderId="13" xfId="0" applyFont="1" applyBorder="1" applyAlignment="1" quotePrefix="1">
      <alignment/>
    </xf>
    <xf numFmtId="0" fontId="3" fillId="0" borderId="38" xfId="0" applyFont="1" applyBorder="1" applyAlignment="1" quotePrefix="1">
      <alignment/>
    </xf>
    <xf numFmtId="0" fontId="10" fillId="34" borderId="28" xfId="0" applyFont="1" applyFill="1" applyBorder="1" applyAlignment="1" quotePrefix="1">
      <alignment vertical="center"/>
    </xf>
    <xf numFmtId="0" fontId="10" fillId="34" borderId="30" xfId="0" applyFont="1" applyFill="1" applyBorder="1" applyAlignment="1">
      <alignment vertical="center"/>
    </xf>
    <xf numFmtId="0" fontId="10" fillId="34" borderId="39" xfId="0" applyFont="1" applyFill="1" applyBorder="1" applyAlignment="1">
      <alignment vertical="center"/>
    </xf>
    <xf numFmtId="0" fontId="10" fillId="34" borderId="30" xfId="0" applyFont="1" applyFill="1" applyBorder="1" applyAlignment="1" quotePrefix="1">
      <alignment vertical="center"/>
    </xf>
    <xf numFmtId="189" fontId="2" fillId="0" borderId="10" xfId="0" applyNumberFormat="1" applyFont="1" applyBorder="1" applyAlignment="1">
      <alignment/>
    </xf>
    <xf numFmtId="189" fontId="5" fillId="0" borderId="0" xfId="0" applyNumberFormat="1" applyFont="1" applyAlignment="1" applyProtection="1">
      <alignment/>
      <protection locked="0"/>
    </xf>
    <xf numFmtId="190" fontId="5" fillId="0" borderId="0" xfId="0" applyNumberFormat="1" applyFont="1" applyAlignment="1" applyProtection="1">
      <alignment/>
      <protection locked="0"/>
    </xf>
    <xf numFmtId="190" fontId="2" fillId="0" borderId="10" xfId="0" applyNumberFormat="1" applyFont="1" applyBorder="1" applyAlignment="1">
      <alignment/>
    </xf>
    <xf numFmtId="190" fontId="0" fillId="0" borderId="0" xfId="0" applyNumberFormat="1" applyAlignment="1">
      <alignment/>
    </xf>
    <xf numFmtId="190" fontId="0" fillId="0" borderId="10" xfId="0" applyNumberFormat="1" applyBorder="1" applyAlignment="1">
      <alignment/>
    </xf>
    <xf numFmtId="190" fontId="5" fillId="0" borderId="0" xfId="0" applyNumberFormat="1" applyFont="1" applyAlignment="1" applyProtection="1">
      <alignment/>
      <protection/>
    </xf>
    <xf numFmtId="190" fontId="0" fillId="0" borderId="11" xfId="0" applyNumberFormat="1" applyBorder="1" applyAlignment="1">
      <alignment/>
    </xf>
    <xf numFmtId="190" fontId="2" fillId="0" borderId="0" xfId="0" applyNumberFormat="1" applyFont="1" applyAlignment="1">
      <alignment horizontal="center"/>
    </xf>
    <xf numFmtId="190" fontId="2" fillId="0" borderId="10" xfId="0" applyNumberFormat="1" applyFont="1" applyBorder="1" applyAlignment="1">
      <alignment horizontal="center"/>
    </xf>
    <xf numFmtId="190" fontId="2" fillId="0" borderId="40" xfId="45" applyNumberFormat="1" applyFont="1" applyBorder="1" applyAlignment="1">
      <alignment horizontal="center"/>
    </xf>
    <xf numFmtId="190" fontId="2" fillId="0" borderId="24" xfId="0" applyNumberFormat="1" applyFont="1" applyBorder="1" applyAlignment="1">
      <alignment horizontal="center"/>
    </xf>
    <xf numFmtId="190" fontId="0" fillId="0" borderId="12" xfId="0" applyNumberFormat="1" applyBorder="1" applyAlignment="1">
      <alignment/>
    </xf>
    <xf numFmtId="190" fontId="0" fillId="0" borderId="17" xfId="0" applyNumberFormat="1" applyBorder="1" applyAlignment="1">
      <alignment/>
    </xf>
    <xf numFmtId="190" fontId="2" fillId="0" borderId="10" xfId="44" applyNumberFormat="1" applyFont="1" applyFill="1" applyBorder="1" applyAlignment="1" applyProtection="1">
      <alignment/>
      <protection/>
    </xf>
    <xf numFmtId="190" fontId="2" fillId="0" borderId="0" xfId="0" applyNumberFormat="1" applyFont="1" applyAlignment="1">
      <alignment/>
    </xf>
    <xf numFmtId="190" fontId="6" fillId="0" borderId="11" xfId="0" applyNumberFormat="1" applyFont="1" applyBorder="1" applyAlignment="1">
      <alignment/>
    </xf>
    <xf numFmtId="190" fontId="5" fillId="0" borderId="14" xfId="44" applyNumberFormat="1" applyFont="1" applyFill="1" applyBorder="1" applyAlignment="1" applyProtection="1">
      <alignment/>
      <protection locked="0"/>
    </xf>
    <xf numFmtId="190" fontId="5" fillId="0" borderId="41" xfId="44" applyNumberFormat="1" applyFont="1" applyFill="1" applyBorder="1" applyAlignment="1" applyProtection="1">
      <alignment/>
      <protection locked="0"/>
    </xf>
    <xf numFmtId="190" fontId="2" fillId="0" borderId="19" xfId="0" applyNumberFormat="1" applyFont="1" applyBorder="1" applyAlignment="1">
      <alignment/>
    </xf>
    <xf numFmtId="190" fontId="6" fillId="0" borderId="19" xfId="0" applyNumberFormat="1" applyFont="1" applyBorder="1" applyAlignment="1">
      <alignment/>
    </xf>
    <xf numFmtId="190" fontId="2" fillId="0" borderId="12" xfId="0" applyNumberFormat="1" applyFont="1" applyBorder="1" applyAlignment="1">
      <alignment/>
    </xf>
    <xf numFmtId="190" fontId="2" fillId="0" borderId="0" xfId="0" applyNumberFormat="1" applyFont="1" applyBorder="1" applyAlignment="1" applyProtection="1">
      <alignment/>
      <protection/>
    </xf>
    <xf numFmtId="190" fontId="2" fillId="0" borderId="10" xfId="0" applyNumberFormat="1" applyFont="1" applyBorder="1" applyAlignment="1" applyProtection="1">
      <alignment/>
      <protection/>
    </xf>
    <xf numFmtId="190" fontId="2" fillId="0" borderId="24" xfId="45" applyNumberFormat="1" applyFont="1" applyBorder="1" applyAlignment="1" applyProtection="1">
      <alignment/>
      <protection/>
    </xf>
    <xf numFmtId="190" fontId="2" fillId="0" borderId="40" xfId="45" applyNumberFormat="1" applyFont="1" applyBorder="1" applyAlignment="1" applyProtection="1">
      <alignment/>
      <protection/>
    </xf>
    <xf numFmtId="190" fontId="2" fillId="0" borderId="0" xfId="0" applyNumberFormat="1" applyFont="1" applyAlignment="1" applyProtection="1">
      <alignment/>
      <protection/>
    </xf>
    <xf numFmtId="190" fontId="0" fillId="0" borderId="0" xfId="45" applyNumberFormat="1" applyFont="1" applyAlignment="1">
      <alignment/>
    </xf>
    <xf numFmtId="190" fontId="0" fillId="0" borderId="0" xfId="0" applyNumberFormat="1" applyBorder="1" applyAlignment="1">
      <alignment/>
    </xf>
    <xf numFmtId="0" fontId="10" fillId="34" borderId="15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Compare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64">
      <selection activeCell="B96" sqref="B96"/>
    </sheetView>
  </sheetViews>
  <sheetFormatPr defaultColWidth="9.140625" defaultRowHeight="12.75"/>
  <cols>
    <col min="1" max="1" width="4.28125" style="0" customWidth="1"/>
    <col min="2" max="2" width="77.421875" style="0" customWidth="1"/>
  </cols>
  <sheetData>
    <row r="1" spans="1:2" s="68" customFormat="1" ht="30">
      <c r="A1" s="224"/>
      <c r="B1" s="225" t="s">
        <v>109</v>
      </c>
    </row>
    <row r="3" ht="12.75">
      <c r="B3" s="98"/>
    </row>
    <row r="5" ht="12.75">
      <c r="B5" t="s">
        <v>192</v>
      </c>
    </row>
    <row r="6" ht="12.75">
      <c r="B6" t="s">
        <v>193</v>
      </c>
    </row>
    <row r="7" ht="12.75">
      <c r="B7" t="s">
        <v>194</v>
      </c>
    </row>
    <row r="8" ht="12.75">
      <c r="B8" t="s">
        <v>195</v>
      </c>
    </row>
    <row r="9" ht="12.75">
      <c r="B9" t="s">
        <v>79</v>
      </c>
    </row>
    <row r="10" ht="12.75">
      <c r="B10" t="s">
        <v>196</v>
      </c>
    </row>
    <row r="11" ht="12.75">
      <c r="B11" t="s">
        <v>250</v>
      </c>
    </row>
    <row r="13" ht="12.75">
      <c r="B13" s="3" t="s">
        <v>223</v>
      </c>
    </row>
    <row r="14" ht="12.75">
      <c r="B14" t="s">
        <v>224</v>
      </c>
    </row>
    <row r="15" ht="12.75">
      <c r="B15" t="s">
        <v>225</v>
      </c>
    </row>
    <row r="16" ht="12.75">
      <c r="B16" t="s">
        <v>226</v>
      </c>
    </row>
    <row r="17" ht="12.75">
      <c r="B17" t="s">
        <v>227</v>
      </c>
    </row>
    <row r="19" ht="12.75">
      <c r="B19" t="s">
        <v>228</v>
      </c>
    </row>
    <row r="21" ht="12.75">
      <c r="B21" s="106" t="s">
        <v>331</v>
      </c>
    </row>
    <row r="22" ht="12.75">
      <c r="B22" t="s">
        <v>246</v>
      </c>
    </row>
    <row r="23" ht="12.75">
      <c r="B23" t="s">
        <v>247</v>
      </c>
    </row>
    <row r="24" ht="12.75">
      <c r="B24" t="s">
        <v>248</v>
      </c>
    </row>
    <row r="25" ht="12.75">
      <c r="B25" t="s">
        <v>249</v>
      </c>
    </row>
    <row r="27" ht="12.75">
      <c r="B27" s="3" t="s">
        <v>197</v>
      </c>
    </row>
    <row r="28" ht="12.75">
      <c r="B28" s="25" t="s">
        <v>198</v>
      </c>
    </row>
    <row r="29" ht="12.75">
      <c r="B29" t="s">
        <v>199</v>
      </c>
    </row>
    <row r="31" ht="12.75">
      <c r="B31" t="s">
        <v>200</v>
      </c>
    </row>
    <row r="32" ht="12.75">
      <c r="B32" t="s">
        <v>201</v>
      </c>
    </row>
    <row r="33" ht="12.75">
      <c r="B33" s="25" t="s">
        <v>202</v>
      </c>
    </row>
    <row r="34" ht="12.75">
      <c r="B34" s="25" t="s">
        <v>203</v>
      </c>
    </row>
    <row r="35" ht="12.75">
      <c r="B35" s="81" t="s">
        <v>286</v>
      </c>
    </row>
    <row r="37" ht="12.75">
      <c r="B37" t="s">
        <v>277</v>
      </c>
    </row>
    <row r="38" ht="12.75">
      <c r="B38" t="s">
        <v>278</v>
      </c>
    </row>
    <row r="39" ht="12.75">
      <c r="B39" t="s">
        <v>279</v>
      </c>
    </row>
    <row r="41" ht="12.75">
      <c r="B41" s="5" t="s">
        <v>204</v>
      </c>
    </row>
    <row r="42" ht="12.75">
      <c r="B42" t="s">
        <v>205</v>
      </c>
    </row>
    <row r="43" ht="12.75">
      <c r="B43" s="5" t="s">
        <v>206</v>
      </c>
    </row>
    <row r="44" ht="12.75">
      <c r="B44" t="s">
        <v>207</v>
      </c>
    </row>
    <row r="45" ht="12.75">
      <c r="B45" t="s">
        <v>208</v>
      </c>
    </row>
    <row r="47" ht="12.75">
      <c r="B47" t="s">
        <v>209</v>
      </c>
    </row>
    <row r="48" ht="12.75">
      <c r="B48" t="s">
        <v>210</v>
      </c>
    </row>
    <row r="49" ht="12.75">
      <c r="B49" t="s">
        <v>211</v>
      </c>
    </row>
    <row r="50" ht="12.75">
      <c r="B50" t="s">
        <v>212</v>
      </c>
    </row>
    <row r="51" ht="12.75">
      <c r="B51" t="s">
        <v>213</v>
      </c>
    </row>
    <row r="52" ht="12.75">
      <c r="B52" t="s">
        <v>214</v>
      </c>
    </row>
    <row r="53" ht="12.75">
      <c r="B53" s="81" t="s">
        <v>291</v>
      </c>
    </row>
    <row r="54" ht="12.75">
      <c r="B54" s="81" t="s">
        <v>332</v>
      </c>
    </row>
    <row r="55" ht="12.75">
      <c r="B55" t="s">
        <v>215</v>
      </c>
    </row>
    <row r="56" ht="12.75">
      <c r="B56" s="81" t="s">
        <v>333</v>
      </c>
    </row>
    <row r="57" ht="12.75">
      <c r="B57" t="s">
        <v>216</v>
      </c>
    </row>
    <row r="59" ht="12.75">
      <c r="B59" t="s">
        <v>217</v>
      </c>
    </row>
    <row r="60" ht="12.75">
      <c r="B60" t="s">
        <v>218</v>
      </c>
    </row>
    <row r="62" ht="12.75">
      <c r="B62" t="s">
        <v>219</v>
      </c>
    </row>
    <row r="63" ht="12.75">
      <c r="B63" t="s">
        <v>220</v>
      </c>
    </row>
    <row r="64" ht="12.75">
      <c r="B64" t="s">
        <v>221</v>
      </c>
    </row>
    <row r="65" ht="12.75">
      <c r="B65" t="s">
        <v>222</v>
      </c>
    </row>
    <row r="66" ht="12.75">
      <c r="B66" t="s">
        <v>229</v>
      </c>
    </row>
    <row r="67" ht="12.75">
      <c r="B67" t="s">
        <v>230</v>
      </c>
    </row>
    <row r="68" ht="12.75">
      <c r="B68" t="s">
        <v>231</v>
      </c>
    </row>
    <row r="69" ht="12.75">
      <c r="B69" t="s">
        <v>232</v>
      </c>
    </row>
    <row r="70" ht="12.75">
      <c r="B70" t="s">
        <v>233</v>
      </c>
    </row>
    <row r="72" ht="12.75">
      <c r="B72" t="s">
        <v>234</v>
      </c>
    </row>
    <row r="73" ht="12.75">
      <c r="B73" t="s">
        <v>235</v>
      </c>
    </row>
    <row r="75" ht="12.75">
      <c r="B75" s="3" t="s">
        <v>114</v>
      </c>
    </row>
    <row r="76" ht="12.75">
      <c r="B76" t="s">
        <v>236</v>
      </c>
    </row>
    <row r="77" ht="12.75">
      <c r="B77" t="s">
        <v>280</v>
      </c>
    </row>
    <row r="78" ht="12.75">
      <c r="B78" t="s">
        <v>281</v>
      </c>
    </row>
    <row r="80" ht="12.75">
      <c r="B80" t="s">
        <v>237</v>
      </c>
    </row>
    <row r="82" ht="12.75">
      <c r="B82" s="3" t="s">
        <v>238</v>
      </c>
    </row>
    <row r="83" ht="12.75">
      <c r="B83" s="81" t="s">
        <v>292</v>
      </c>
    </row>
    <row r="84" ht="12.75">
      <c r="B84" t="s">
        <v>239</v>
      </c>
    </row>
    <row r="85" ht="12.75">
      <c r="B85" s="81" t="s">
        <v>282</v>
      </c>
    </row>
    <row r="86" ht="12.75">
      <c r="B86" s="81" t="s">
        <v>283</v>
      </c>
    </row>
    <row r="88" ht="12.75">
      <c r="B88" s="3" t="s">
        <v>240</v>
      </c>
    </row>
    <row r="89" ht="12.75">
      <c r="B89" t="s">
        <v>241</v>
      </c>
    </row>
    <row r="90" ht="12.75">
      <c r="B90" t="s">
        <v>242</v>
      </c>
    </row>
    <row r="91" ht="12.75">
      <c r="B91" t="s">
        <v>243</v>
      </c>
    </row>
    <row r="92" ht="12.75">
      <c r="B92" t="s">
        <v>244</v>
      </c>
    </row>
    <row r="93" ht="12.75">
      <c r="B93" t="s">
        <v>245</v>
      </c>
    </row>
    <row r="95" ht="12.75">
      <c r="B95" s="214"/>
    </row>
    <row r="96" ht="12.75">
      <c r="B96" s="214"/>
    </row>
    <row r="97" ht="12.75">
      <c r="B97" s="214"/>
    </row>
    <row r="98" ht="12.75">
      <c r="B98" s="215"/>
    </row>
    <row r="99" ht="12.75">
      <c r="B99" s="84"/>
    </row>
    <row r="100" ht="12.75">
      <c r="B100" s="213"/>
    </row>
    <row r="101" ht="12.75">
      <c r="B101" s="20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">
      <selection activeCell="B36" activeCellId="9" sqref="C7 C15 C18 C19 C23 C24 C29 B29 C36 B36"/>
    </sheetView>
  </sheetViews>
  <sheetFormatPr defaultColWidth="9.140625" defaultRowHeight="12.75"/>
  <cols>
    <col min="1" max="1" width="55.140625" style="0" customWidth="1"/>
    <col min="2" max="2" width="11.57421875" style="0" bestFit="1" customWidth="1"/>
    <col min="3" max="3" width="13.00390625" style="0" customWidth="1"/>
  </cols>
  <sheetData>
    <row r="1" spans="1:3" ht="45" customHeight="1" thickBot="1">
      <c r="A1" s="221" t="s">
        <v>128</v>
      </c>
      <c r="B1" s="226"/>
      <c r="C1" s="223"/>
    </row>
    <row r="2" spans="1:3" ht="6" customHeight="1">
      <c r="A2" s="65"/>
      <c r="B2" s="65"/>
      <c r="C2" s="65"/>
    </row>
    <row r="3" spans="1:3" ht="12.75">
      <c r="A3" s="34">
        <f ca="1">TODAY()</f>
        <v>43008</v>
      </c>
      <c r="B3" s="34"/>
      <c r="C3" s="34"/>
    </row>
    <row r="5" spans="1:3" ht="12.75">
      <c r="A5" s="3" t="s">
        <v>0</v>
      </c>
      <c r="B5" s="4" t="s">
        <v>1</v>
      </c>
      <c r="C5" s="4" t="s">
        <v>2</v>
      </c>
    </row>
    <row r="6" spans="1:3" ht="12.75">
      <c r="A6" s="3"/>
      <c r="B6" s="4"/>
      <c r="C6" s="4"/>
    </row>
    <row r="7" spans="1:3" ht="13.5" thickBot="1">
      <c r="A7" s="3" t="s">
        <v>105</v>
      </c>
      <c r="B7" s="36">
        <v>1533000</v>
      </c>
      <c r="C7" s="248">
        <f>+B7+C15+C19+C24</f>
        <v>2152200</v>
      </c>
    </row>
    <row r="8" ht="13.5" thickTop="1"/>
    <row r="9" ht="12.75">
      <c r="A9" s="3" t="s">
        <v>3</v>
      </c>
    </row>
    <row r="10" spans="1:3" ht="12.75">
      <c r="A10" t="s">
        <v>4</v>
      </c>
      <c r="C10" s="36">
        <v>250000</v>
      </c>
    </row>
    <row r="11" spans="1:3" ht="12.75">
      <c r="A11" s="5" t="s">
        <v>5</v>
      </c>
      <c r="C11" s="36">
        <v>0</v>
      </c>
    </row>
    <row r="12" spans="1:3" ht="12.75">
      <c r="A12" t="s">
        <v>6</v>
      </c>
      <c r="C12" s="36">
        <v>0</v>
      </c>
    </row>
    <row r="13" spans="1:3" ht="12.75">
      <c r="A13" t="s">
        <v>7</v>
      </c>
      <c r="C13" s="36">
        <v>0</v>
      </c>
    </row>
    <row r="14" spans="1:3" ht="12.75">
      <c r="A14" s="36" t="s">
        <v>115</v>
      </c>
      <c r="C14" s="36">
        <v>0</v>
      </c>
    </row>
    <row r="15" spans="1:3" ht="13.5" thickBot="1">
      <c r="A15" s="17" t="s">
        <v>8</v>
      </c>
      <c r="B15" s="7"/>
      <c r="C15" s="248">
        <f>SUM(C10:C14)</f>
        <v>250000</v>
      </c>
    </row>
    <row r="16" ht="13.5" thickTop="1"/>
    <row r="17" spans="1:3" ht="12.75">
      <c r="A17" s="3" t="s">
        <v>9</v>
      </c>
      <c r="C17" s="39">
        <v>12</v>
      </c>
    </row>
    <row r="18" spans="1:3" ht="12.75">
      <c r="A18" s="5" t="s">
        <v>10</v>
      </c>
      <c r="C18" s="249">
        <v>29700</v>
      </c>
    </row>
    <row r="19" spans="1:3" ht="13.5" thickBot="1">
      <c r="A19" s="23" t="s">
        <v>11</v>
      </c>
      <c r="B19" s="7"/>
      <c r="C19" s="248">
        <f>+C17*C18</f>
        <v>356400</v>
      </c>
    </row>
    <row r="20" spans="1:3" ht="13.5" thickTop="1">
      <c r="A20" s="13"/>
      <c r="B20" s="14"/>
      <c r="C20" s="15"/>
    </row>
    <row r="21" ht="12.75">
      <c r="A21" s="3" t="s">
        <v>12</v>
      </c>
    </row>
    <row r="22" spans="1:3" ht="12.75">
      <c r="A22" s="25" t="s">
        <v>107</v>
      </c>
      <c r="C22" s="39">
        <v>8</v>
      </c>
    </row>
    <row r="23" spans="1:3" ht="12.75">
      <c r="A23" s="5" t="s">
        <v>13</v>
      </c>
      <c r="C23" s="249">
        <v>1600</v>
      </c>
    </row>
    <row r="24" spans="1:3" ht="13.5" thickBot="1">
      <c r="A24" s="23" t="s">
        <v>14</v>
      </c>
      <c r="B24" s="7"/>
      <c r="C24" s="248">
        <f>+C22*C23</f>
        <v>12800</v>
      </c>
    </row>
    <row r="25" ht="13.5" thickTop="1"/>
    <row r="26" spans="1:3" ht="12.75">
      <c r="A26" s="22" t="s">
        <v>15</v>
      </c>
      <c r="B26" s="14"/>
      <c r="C26" s="15"/>
    </row>
    <row r="27" spans="1:3" ht="12.75">
      <c r="A27" s="16" t="s">
        <v>16</v>
      </c>
      <c r="B27" s="40">
        <v>22000</v>
      </c>
      <c r="C27" s="40">
        <f>B27</f>
        <v>22000</v>
      </c>
    </row>
    <row r="28" spans="1:3" ht="12.75">
      <c r="A28" s="16" t="s">
        <v>17</v>
      </c>
      <c r="B28" s="41">
        <v>6.5</v>
      </c>
      <c r="C28" s="41">
        <v>6</v>
      </c>
    </row>
    <row r="29" spans="1:3" ht="13.5" thickBot="1">
      <c r="A29" s="17" t="s">
        <v>18</v>
      </c>
      <c r="B29" s="248">
        <f>+B27*B28*0.01</f>
        <v>1430</v>
      </c>
      <c r="C29" s="248">
        <f>+C27*C28*0.01</f>
        <v>1320</v>
      </c>
    </row>
    <row r="30" spans="1:3" ht="13.5" thickTop="1">
      <c r="A30" s="5"/>
      <c r="C30" s="6"/>
    </row>
    <row r="31" spans="1:3" ht="12.75">
      <c r="A31" s="3" t="s">
        <v>19</v>
      </c>
      <c r="C31" s="6"/>
    </row>
    <row r="32" spans="1:3" ht="12.75">
      <c r="A32" t="s">
        <v>20</v>
      </c>
      <c r="B32" s="36">
        <v>352000</v>
      </c>
      <c r="C32" s="36">
        <f>+B32-Loan!B34</f>
        <v>335486</v>
      </c>
    </row>
    <row r="33" spans="1:3" ht="12.75">
      <c r="A33" t="s">
        <v>21</v>
      </c>
      <c r="B33" s="21"/>
      <c r="C33" s="12">
        <f>+C24</f>
        <v>12800</v>
      </c>
    </row>
    <row r="34" spans="1:3" ht="12.75">
      <c r="A34" t="s">
        <v>22</v>
      </c>
      <c r="C34" s="1">
        <f>+C19</f>
        <v>356400</v>
      </c>
    </row>
    <row r="35" spans="1:3" ht="12.75">
      <c r="A35" t="s">
        <v>23</v>
      </c>
      <c r="C35" s="12">
        <f>+C15</f>
        <v>250000</v>
      </c>
    </row>
    <row r="36" spans="1:3" ht="13.5" thickBot="1">
      <c r="A36" s="17" t="s">
        <v>146</v>
      </c>
      <c r="B36" s="248">
        <f>SUM(B32:B35)+B27</f>
        <v>374000</v>
      </c>
      <c r="C36" s="248">
        <f>SUM(C32:C35)+C27</f>
        <v>976686</v>
      </c>
    </row>
    <row r="37" ht="13.5" thickTop="1"/>
    <row r="45" ht="12.75">
      <c r="A45" s="214"/>
    </row>
    <row r="46" ht="12.75">
      <c r="A46" s="214"/>
    </row>
    <row r="47" ht="12.75">
      <c r="A47" s="214"/>
    </row>
    <row r="48" ht="12.75">
      <c r="A48" s="215"/>
    </row>
    <row r="49" ht="12.75">
      <c r="A49" s="84"/>
    </row>
    <row r="50" ht="12.75">
      <c r="A50" s="213"/>
    </row>
    <row r="51" ht="12.75">
      <c r="A51" s="206"/>
    </row>
  </sheetData>
  <sheetProtection/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H30" sqref="G30:H30"/>
    </sheetView>
  </sheetViews>
  <sheetFormatPr defaultColWidth="9.140625" defaultRowHeight="12.75"/>
  <cols>
    <col min="1" max="1" width="26.140625" style="0" customWidth="1"/>
    <col min="2" max="2" width="29.421875" style="0" customWidth="1"/>
    <col min="3" max="3" width="9.421875" style="0" customWidth="1"/>
    <col min="4" max="4" width="9.7109375" style="0" customWidth="1"/>
    <col min="5" max="5" width="8.140625" style="0" customWidth="1"/>
    <col min="6" max="6" width="7.00390625" style="0" customWidth="1"/>
    <col min="7" max="7" width="12.00390625" style="0" customWidth="1"/>
    <col min="8" max="18" width="7.00390625" style="0" customWidth="1"/>
  </cols>
  <sheetData>
    <row r="1" spans="1:4" ht="30.75" thickBot="1">
      <c r="A1" s="227" t="s">
        <v>186</v>
      </c>
      <c r="B1" s="226"/>
      <c r="C1" s="226"/>
      <c r="D1" s="223"/>
    </row>
    <row r="3" spans="1:3" ht="12.75">
      <c r="A3" s="3" t="s">
        <v>177</v>
      </c>
      <c r="B3" t="s">
        <v>178</v>
      </c>
      <c r="C3" s="250">
        <v>2.37</v>
      </c>
    </row>
    <row r="4" spans="1:3" ht="12.75">
      <c r="A4" s="3"/>
      <c r="B4" s="81" t="s">
        <v>295</v>
      </c>
      <c r="C4" s="250">
        <v>0.45</v>
      </c>
    </row>
    <row r="5" spans="2:3" ht="12.75">
      <c r="B5" s="81" t="s">
        <v>296</v>
      </c>
      <c r="C5" s="250">
        <v>0.04</v>
      </c>
    </row>
    <row r="6" spans="2:3" ht="12.75">
      <c r="B6" t="s">
        <v>179</v>
      </c>
      <c r="C6" s="250">
        <v>1.22</v>
      </c>
    </row>
    <row r="7" spans="2:3" ht="12.75">
      <c r="B7" s="81" t="s">
        <v>269</v>
      </c>
      <c r="C7" s="250">
        <v>0.06</v>
      </c>
    </row>
    <row r="8" spans="2:3" ht="13.5" thickBot="1">
      <c r="B8" s="17" t="s">
        <v>180</v>
      </c>
      <c r="C8" s="251">
        <f>SUM(C3:C7)</f>
        <v>4.14</v>
      </c>
    </row>
    <row r="9" spans="2:3" ht="13.5" thickTop="1">
      <c r="B9" s="22"/>
      <c r="C9" s="105"/>
    </row>
    <row r="10" spans="1:3" ht="12.75">
      <c r="A10" s="106" t="s">
        <v>284</v>
      </c>
      <c r="B10" s="81" t="s">
        <v>272</v>
      </c>
      <c r="C10" s="96">
        <v>3.64</v>
      </c>
    </row>
    <row r="11" spans="2:3" ht="12.75">
      <c r="B11" t="s">
        <v>271</v>
      </c>
      <c r="C11" s="96">
        <v>3.34</v>
      </c>
    </row>
    <row r="12" spans="2:3" ht="12.75">
      <c r="B12" t="s">
        <v>273</v>
      </c>
      <c r="C12" s="96">
        <v>5.72</v>
      </c>
    </row>
    <row r="13" spans="2:3" ht="12.75">
      <c r="B13" s="22"/>
      <c r="C13" s="105"/>
    </row>
    <row r="15" spans="1:4" ht="12.75">
      <c r="A15" s="3" t="s">
        <v>181</v>
      </c>
      <c r="B15" t="s">
        <v>182</v>
      </c>
      <c r="C15" s="250">
        <v>9.51</v>
      </c>
      <c r="D15" s="252">
        <f>+C15*Report!D10</f>
        <v>34.6164</v>
      </c>
    </row>
    <row r="16" spans="2:4" ht="12.75">
      <c r="B16" t="s">
        <v>183</v>
      </c>
      <c r="C16" s="250">
        <v>7.27</v>
      </c>
      <c r="D16" s="252">
        <f>+C16*Report!D11</f>
        <v>24.281799999999997</v>
      </c>
    </row>
    <row r="17" spans="2:4" ht="12.75">
      <c r="B17" t="s">
        <v>184</v>
      </c>
      <c r="C17" s="250">
        <v>1.53</v>
      </c>
      <c r="D17" s="252">
        <f>+C17*Report!D12</f>
        <v>8.7516</v>
      </c>
    </row>
    <row r="18" spans="3:5" ht="13.5" thickBot="1">
      <c r="C18" s="77"/>
      <c r="D18" s="253">
        <f>SUM(D15:D17)</f>
        <v>67.6498</v>
      </c>
      <c r="E18" s="42"/>
    </row>
    <row r="19" spans="2:4" ht="13.5" thickTop="1">
      <c r="B19" t="s">
        <v>173</v>
      </c>
      <c r="D19" s="252">
        <f>-deductions</f>
        <v>-4.14</v>
      </c>
    </row>
    <row r="20" spans="2:4" ht="13.5" thickBot="1">
      <c r="B20" s="17" t="s">
        <v>185</v>
      </c>
      <c r="C20" s="78"/>
      <c r="D20" s="251">
        <f>D18+D19</f>
        <v>63.5098</v>
      </c>
    </row>
    <row r="21" ht="12" customHeight="1" thickTop="1"/>
    <row r="22" spans="1:4" ht="12.75">
      <c r="A22" s="22"/>
      <c r="B22" s="14"/>
      <c r="C22" s="177"/>
      <c r="D22" s="133"/>
    </row>
    <row r="24" spans="1:4" ht="12.75">
      <c r="A24" s="3" t="s">
        <v>187</v>
      </c>
      <c r="B24" t="s">
        <v>174</v>
      </c>
      <c r="C24" s="250">
        <v>-9.64</v>
      </c>
      <c r="D24" s="252">
        <f>+C24*Report!D10</f>
        <v>-35.089600000000004</v>
      </c>
    </row>
    <row r="25" spans="1:4" ht="12.75">
      <c r="A25" s="130"/>
      <c r="B25" t="s">
        <v>175</v>
      </c>
      <c r="C25" s="254">
        <v>-7.02</v>
      </c>
      <c r="D25" s="252">
        <f>+C25*Report!D11</f>
        <v>-23.446799999999996</v>
      </c>
    </row>
    <row r="26" spans="2:5" ht="12.75">
      <c r="B26" t="s">
        <v>176</v>
      </c>
      <c r="C26" s="254">
        <v>-1.44</v>
      </c>
      <c r="D26" s="252">
        <f>+C26*Report!D12</f>
        <v>-8.236799999999999</v>
      </c>
      <c r="E26" s="42"/>
    </row>
    <row r="27" ht="13.5" thickBot="1">
      <c r="D27" s="253">
        <f>SUM(D24:D26)</f>
        <v>-66.7732</v>
      </c>
    </row>
    <row r="28" spans="2:4" ht="13.5" thickTop="1">
      <c r="B28" t="s">
        <v>173</v>
      </c>
      <c r="D28" s="255">
        <f>-deductions</f>
        <v>-4.14</v>
      </c>
    </row>
    <row r="29" spans="2:4" ht="13.5" thickBot="1">
      <c r="B29" s="140" t="s">
        <v>298</v>
      </c>
      <c r="C29" s="17"/>
      <c r="D29" s="104">
        <f>SUM(D27:D28)</f>
        <v>-70.9132</v>
      </c>
    </row>
    <row r="30" ht="13.5" thickTop="1"/>
    <row r="31" spans="1:7" ht="12.75">
      <c r="A31" s="16"/>
      <c r="B31" s="16"/>
      <c r="C31" s="16"/>
      <c r="D31" s="16"/>
      <c r="E31" s="16"/>
      <c r="F31" s="14"/>
      <c r="G31" s="14"/>
    </row>
    <row r="32" spans="1:7" ht="12.75">
      <c r="A32" s="142" t="s">
        <v>303</v>
      </c>
      <c r="B32" s="16"/>
      <c r="C32" s="131"/>
      <c r="D32" s="143">
        <f>(C11+C12)/C10</f>
        <v>2.4890109890109886</v>
      </c>
      <c r="E32" s="16"/>
      <c r="F32" s="14"/>
      <c r="G32" s="14"/>
    </row>
    <row r="33" spans="1:7" ht="12.75">
      <c r="A33" s="142" t="s">
        <v>304</v>
      </c>
      <c r="B33" s="16"/>
      <c r="C33" s="131"/>
      <c r="D33" s="144">
        <f>2.35</f>
        <v>2.35</v>
      </c>
      <c r="E33" s="16"/>
      <c r="F33" s="14"/>
      <c r="G33" s="14"/>
    </row>
    <row r="34" spans="1:7" ht="12.75">
      <c r="A34" s="16"/>
      <c r="B34" s="16"/>
      <c r="C34" s="131"/>
      <c r="D34" s="132"/>
      <c r="E34" s="16"/>
      <c r="F34" s="14"/>
      <c r="G34" s="14"/>
    </row>
    <row r="35" spans="1:7" ht="12.75">
      <c r="A35" s="16"/>
      <c r="B35" s="14"/>
      <c r="C35" s="14"/>
      <c r="D35" s="133"/>
      <c r="E35" s="16"/>
      <c r="F35" s="14"/>
      <c r="G35" s="14"/>
    </row>
    <row r="36" spans="1:7" ht="12.75">
      <c r="A36" s="16"/>
      <c r="B36" s="14"/>
      <c r="C36" s="14"/>
      <c r="D36" s="134"/>
      <c r="E36" s="16"/>
      <c r="F36" s="14"/>
      <c r="G36" s="14"/>
    </row>
    <row r="37" spans="1:7" ht="12.75">
      <c r="A37" s="16"/>
      <c r="B37" s="22"/>
      <c r="C37" s="22"/>
      <c r="D37" s="135"/>
      <c r="E37" s="16"/>
      <c r="F37" s="14"/>
      <c r="G37" s="14"/>
    </row>
    <row r="38" spans="1:7" ht="12.75">
      <c r="A38" s="16"/>
      <c r="B38" s="16"/>
      <c r="C38" s="16"/>
      <c r="D38" s="16"/>
      <c r="E38" s="16"/>
      <c r="F38" s="14"/>
      <c r="G38" s="14"/>
    </row>
    <row r="39" spans="1:5" ht="12.75">
      <c r="A39" s="25"/>
      <c r="B39" s="16"/>
      <c r="C39" s="16"/>
      <c r="D39" s="16"/>
      <c r="E39" s="25"/>
    </row>
    <row r="40" spans="1:5" ht="12.75">
      <c r="A40" s="25"/>
      <c r="B40" s="25"/>
      <c r="C40" s="25"/>
      <c r="D40" s="25"/>
      <c r="E40" s="25"/>
    </row>
    <row r="41" spans="1:5" ht="12.75">
      <c r="A41" s="25"/>
      <c r="B41" s="25"/>
      <c r="C41" s="25"/>
      <c r="D41" s="25"/>
      <c r="E41" s="25"/>
    </row>
    <row r="42" spans="1:5" ht="12.75">
      <c r="A42" s="25"/>
      <c r="B42" s="25"/>
      <c r="C42" s="25"/>
      <c r="D42" s="25"/>
      <c r="E42" s="25"/>
    </row>
    <row r="43" spans="1:5" ht="12.75">
      <c r="A43" s="25"/>
      <c r="B43" s="25"/>
      <c r="C43" s="25"/>
      <c r="D43" s="25"/>
      <c r="E43" s="25"/>
    </row>
    <row r="44" spans="1:5" ht="12.75">
      <c r="A44" s="25"/>
      <c r="B44" s="25"/>
      <c r="C44" s="25"/>
      <c r="D44" s="25"/>
      <c r="E44" s="25"/>
    </row>
    <row r="45" spans="1:5" ht="12.75">
      <c r="A45" s="25"/>
      <c r="B45" s="25"/>
      <c r="C45" s="25"/>
      <c r="D45" s="25"/>
      <c r="E45" s="25"/>
    </row>
    <row r="46" spans="1:5" ht="12.75">
      <c r="A46" s="25"/>
      <c r="B46" s="25"/>
      <c r="C46" s="25"/>
      <c r="D46" s="25"/>
      <c r="E46" s="25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zoomScalePageLayoutView="0" workbookViewId="0" topLeftCell="A16">
      <selection activeCell="A7" sqref="A7"/>
    </sheetView>
  </sheetViews>
  <sheetFormatPr defaultColWidth="9.140625" defaultRowHeight="12.75"/>
  <cols>
    <col min="1" max="1" width="45.7109375" style="0" customWidth="1"/>
    <col min="2" max="2" width="17.8515625" style="0" customWidth="1"/>
    <col min="3" max="3" width="6.8515625" style="0" customWidth="1"/>
    <col min="4" max="4" width="16.140625" style="0" customWidth="1"/>
    <col min="5" max="5" width="12.140625" style="0" bestFit="1" customWidth="1"/>
    <col min="6" max="6" width="11.8515625" style="0" customWidth="1"/>
    <col min="8" max="8" width="11.57421875" style="0" bestFit="1" customWidth="1"/>
  </cols>
  <sheetData>
    <row r="1" spans="1:4" ht="45" customHeight="1" thickBot="1">
      <c r="A1" s="222" t="s">
        <v>340</v>
      </c>
      <c r="B1" s="222"/>
      <c r="C1" s="222"/>
      <c r="D1" s="228"/>
    </row>
    <row r="2" spans="1:4" ht="12.75">
      <c r="A2" s="34">
        <f ca="1">NOW()</f>
        <v>43008.71851064815</v>
      </c>
      <c r="B2" s="34"/>
      <c r="C2" s="34"/>
      <c r="D2" s="34"/>
    </row>
    <row r="4" spans="1:4" s="3" customFormat="1" ht="13.5" thickBot="1">
      <c r="A4" s="10" t="s">
        <v>38</v>
      </c>
      <c r="B4" s="190" t="s">
        <v>1</v>
      </c>
      <c r="C4" s="11" t="s">
        <v>39</v>
      </c>
      <c r="D4" s="190" t="s">
        <v>2</v>
      </c>
    </row>
    <row r="5" spans="1:7" ht="13.5" thickTop="1">
      <c r="A5" t="s">
        <v>134</v>
      </c>
      <c r="B5" s="191">
        <v>48</v>
      </c>
      <c r="C5" s="184">
        <f>(D5-B5)/B5*100</f>
        <v>29.166666666666668</v>
      </c>
      <c r="D5" s="191">
        <v>62</v>
      </c>
      <c r="E5" s="43"/>
      <c r="F5" s="169" t="s">
        <v>315</v>
      </c>
      <c r="G5" s="170"/>
    </row>
    <row r="6" spans="1:7" ht="13.5" thickBot="1">
      <c r="A6" s="81" t="s">
        <v>287</v>
      </c>
      <c r="B6" s="191">
        <v>7700</v>
      </c>
      <c r="C6" s="184">
        <f aca="true" t="shared" si="0" ref="C6:C18">(D6-B6)/B6*100</f>
        <v>0</v>
      </c>
      <c r="D6" s="191">
        <v>7700</v>
      </c>
      <c r="F6" s="171">
        <f>B7*365/B10%</f>
        <v>360989.010989011</v>
      </c>
      <c r="G6" s="172" t="s">
        <v>290</v>
      </c>
    </row>
    <row r="7" spans="1:4" ht="13.5" thickTop="1">
      <c r="A7" t="s">
        <v>42</v>
      </c>
      <c r="B7" s="191">
        <v>36</v>
      </c>
      <c r="C7" s="184">
        <f t="shared" si="0"/>
        <v>33.33333333333333</v>
      </c>
      <c r="D7" s="192">
        <f>+Expansion!C17+Report!B7</f>
        <v>48</v>
      </c>
    </row>
    <row r="8" spans="1:4" ht="12.75">
      <c r="A8" t="s">
        <v>104</v>
      </c>
      <c r="B8" s="193">
        <f>IF(B5*B6&lt;(B7*365/B10/0.01),B5*B6,B7*365/B10/0.01)</f>
        <v>360989.010989011</v>
      </c>
      <c r="C8" s="184">
        <f t="shared" si="0"/>
        <v>32.247792998477934</v>
      </c>
      <c r="D8" s="193">
        <f>IF(D5*D6&lt;(D7*365/D10/0.01),D5*D6,D7*365/D10/0.01)</f>
        <v>477400</v>
      </c>
    </row>
    <row r="9" spans="1:5" ht="13.5" thickBot="1">
      <c r="A9" s="108" t="str">
        <f>"Litres of Milk Sold over Quota"</f>
        <v>Litres of Milk Sold over Quota</v>
      </c>
      <c r="B9" s="18">
        <f>B6*B5-B8</f>
        <v>8610.989010989026</v>
      </c>
      <c r="C9" s="184"/>
      <c r="D9" s="18">
        <f>D6*D5-D8</f>
        <v>0</v>
      </c>
      <c r="E9" s="101"/>
    </row>
    <row r="10" spans="1:7" ht="13.5" thickTop="1">
      <c r="A10" t="s">
        <v>44</v>
      </c>
      <c r="B10" s="194">
        <f>'Milk Price and Test'!C10</f>
        <v>3.64</v>
      </c>
      <c r="C10" s="184"/>
      <c r="D10" s="195">
        <f>B10</f>
        <v>3.64</v>
      </c>
      <c r="E10" s="5"/>
      <c r="F10" s="169" t="s">
        <v>314</v>
      </c>
      <c r="G10" s="170"/>
    </row>
    <row r="11" spans="1:8" ht="13.5" thickBot="1">
      <c r="A11" t="s">
        <v>45</v>
      </c>
      <c r="B11" s="194">
        <f>'Milk Price and Test'!C11</f>
        <v>3.34</v>
      </c>
      <c r="C11" s="184"/>
      <c r="D11" s="195">
        <f>B11</f>
        <v>3.34</v>
      </c>
      <c r="E11" s="79"/>
      <c r="F11" s="171">
        <f>D7*365/D10%</f>
        <v>481318.6813186813</v>
      </c>
      <c r="G11" s="172" t="s">
        <v>290</v>
      </c>
      <c r="H11" s="100"/>
    </row>
    <row r="12" spans="1:8" ht="13.5" thickTop="1">
      <c r="A12" t="s">
        <v>276</v>
      </c>
      <c r="B12" s="194">
        <f>'Milk Price and Test'!C12</f>
        <v>5.72</v>
      </c>
      <c r="C12" s="184"/>
      <c r="D12" s="195">
        <f>B12</f>
        <v>5.72</v>
      </c>
      <c r="E12" s="79"/>
      <c r="H12" s="100"/>
    </row>
    <row r="13" spans="1:8" ht="12.75">
      <c r="A13" s="81" t="s">
        <v>302</v>
      </c>
      <c r="B13" s="196">
        <f>(B11+B12)/B10</f>
        <v>2.4890109890109886</v>
      </c>
      <c r="C13" s="184"/>
      <c r="D13" s="196">
        <f>(D11+D12)/D10</f>
        <v>2.4890109890109886</v>
      </c>
      <c r="E13" s="79"/>
      <c r="H13" s="100"/>
    </row>
    <row r="14" spans="1:4" ht="12.75">
      <c r="A14" t="s">
        <v>46</v>
      </c>
      <c r="B14" s="197">
        <v>220</v>
      </c>
      <c r="C14" s="184">
        <f t="shared" si="0"/>
        <v>18.181818181818183</v>
      </c>
      <c r="D14" s="197">
        <v>260</v>
      </c>
    </row>
    <row r="15" spans="1:4" ht="12.75">
      <c r="A15" t="s">
        <v>47</v>
      </c>
      <c r="B15" s="209">
        <f>+B14/B5</f>
        <v>4.583333333333333</v>
      </c>
      <c r="C15" s="184">
        <f t="shared" si="0"/>
        <v>-8.50439882697947</v>
      </c>
      <c r="D15" s="209">
        <f>+D14/D5</f>
        <v>4.193548387096774</v>
      </c>
    </row>
    <row r="16" spans="1:4" ht="12.75">
      <c r="A16" s="27" t="s">
        <v>48</v>
      </c>
      <c r="B16" s="198">
        <f>1-+Expansion!B36/Expansion!B7</f>
        <v>0.7560339204174821</v>
      </c>
      <c r="C16" s="184">
        <f t="shared" si="0"/>
        <v>-27.75564839285186</v>
      </c>
      <c r="D16" s="198">
        <f>1-+Expansion!C36/Expansion!C7</f>
        <v>0.5461918037357123</v>
      </c>
    </row>
    <row r="17" spans="1:4" ht="12.75">
      <c r="A17" s="3" t="s">
        <v>106</v>
      </c>
      <c r="B17" s="256">
        <f>(Expansion!B36)/B8</f>
        <v>1.0360426179604263</v>
      </c>
      <c r="C17" s="184">
        <f t="shared" si="0"/>
        <v>97.4671814053021</v>
      </c>
      <c r="D17" s="256">
        <f>(Expansion!C36)/D8</f>
        <v>2.045844155844156</v>
      </c>
    </row>
    <row r="18" spans="1:4" ht="12.75">
      <c r="A18" s="44" t="s">
        <v>50</v>
      </c>
      <c r="B18" s="200">
        <f>Expansion!B36</f>
        <v>374000</v>
      </c>
      <c r="C18" s="184">
        <f t="shared" si="0"/>
        <v>161.14598930481284</v>
      </c>
      <c r="D18" s="200">
        <f>Expansion!C36</f>
        <v>976686</v>
      </c>
    </row>
    <row r="19" spans="1:5" ht="12.75">
      <c r="A19" s="3"/>
      <c r="B19" s="199"/>
      <c r="C19" s="185"/>
      <c r="D19" s="199"/>
      <c r="E19" s="42"/>
    </row>
    <row r="20" spans="1:5" ht="12.75">
      <c r="A20" s="3" t="s">
        <v>51</v>
      </c>
      <c r="B20" s="201" t="s">
        <v>1</v>
      </c>
      <c r="C20" s="202"/>
      <c r="D20" s="201" t="s">
        <v>2</v>
      </c>
      <c r="E20" s="42"/>
    </row>
    <row r="21" spans="1:6" ht="12.75">
      <c r="A21" s="81" t="s">
        <v>299</v>
      </c>
      <c r="B21" s="203">
        <f>+B8/100*SUM('Milk Price and Test'!$D$18)</f>
        <v>244208.34395604394</v>
      </c>
      <c r="C21" s="184"/>
      <c r="D21" s="203">
        <f>+D8/100*SUM('Milk Price and Test'!$D$18)</f>
        <v>322960.14519999997</v>
      </c>
      <c r="E21" s="42"/>
      <c r="F21" s="5"/>
    </row>
    <row r="22" spans="1:6" ht="12.75">
      <c r="A22" s="139" t="s">
        <v>297</v>
      </c>
      <c r="B22" s="204">
        <f>+B9/100*'Milk Price and Test'!$D$27</f>
        <v>-5749.832914285725</v>
      </c>
      <c r="C22" s="184"/>
      <c r="D22" s="204">
        <f>+D9/100*'Milk Price and Test'!$D$27</f>
        <v>0</v>
      </c>
      <c r="F22" s="5"/>
    </row>
    <row r="23" spans="1:6" ht="12.75">
      <c r="A23" s="145" t="s">
        <v>305</v>
      </c>
      <c r="B23" s="205">
        <f>IF(B13&gt;'Milk Price and Test'!D33,-B$106*'Milk Price and Test'!$C$16-Report!B$107*'Milk Price and Test'!$C$17,0)</f>
        <v>-6659.928658030695</v>
      </c>
      <c r="C23" s="184"/>
      <c r="D23" s="205">
        <f>IF(D13&gt;'Milk Price and Test'!F33,-D$106*'Milk Price and Test'!$C$16-Report!D$107*'Milk Price and Test'!$C$17,0)</f>
        <v>-8807.608665518766</v>
      </c>
      <c r="F23" s="5"/>
    </row>
    <row r="24" spans="1:5" s="25" customFormat="1" ht="12.75">
      <c r="A24" s="25" t="s">
        <v>52</v>
      </c>
      <c r="B24" s="197">
        <v>31000</v>
      </c>
      <c r="C24" s="186">
        <v>10</v>
      </c>
      <c r="D24" s="203">
        <f>IF(ISNUMBER(C24),B24+B24*C24*0.01,B24+B24*$C$5%)</f>
        <v>34100</v>
      </c>
      <c r="E24" s="45"/>
    </row>
    <row r="25" spans="1:4" ht="12.75">
      <c r="A25" t="s">
        <v>53</v>
      </c>
      <c r="B25" s="197">
        <v>18000</v>
      </c>
      <c r="C25" s="186">
        <v>-20</v>
      </c>
      <c r="D25" s="203">
        <f>IF(ISNUMBER(C25),B25+B25*C25*0.01,B25+B25*$C$5%)</f>
        <v>14400</v>
      </c>
    </row>
    <row r="26" spans="1:4" ht="12.75">
      <c r="A26" t="s">
        <v>54</v>
      </c>
      <c r="B26" s="197">
        <v>6000</v>
      </c>
      <c r="C26" s="187">
        <v>0</v>
      </c>
      <c r="D26" s="203">
        <f>IF(ISNUMBER(C26),B26+B26*C26*0.01,B26+B26*$C$5%)</f>
        <v>6000</v>
      </c>
    </row>
    <row r="27" spans="1:4" ht="13.5" thickBot="1">
      <c r="A27" s="17" t="s">
        <v>55</v>
      </c>
      <c r="B27" s="257">
        <f>SUM(B21:B26)</f>
        <v>286798.58238372754</v>
      </c>
      <c r="C27" s="210">
        <f>(D27-B27)/B27*100</f>
        <v>28.54057139000626</v>
      </c>
      <c r="D27" s="257">
        <f>SUM(D21:D26)</f>
        <v>368652.5365344812</v>
      </c>
    </row>
    <row r="28" spans="2:4" ht="13.5" thickTop="1">
      <c r="B28" s="206"/>
      <c r="C28" s="206"/>
      <c r="D28" s="206"/>
    </row>
    <row r="29" spans="1:6" ht="12.75">
      <c r="A29" s="3" t="s">
        <v>56</v>
      </c>
      <c r="B29" s="206"/>
      <c r="C29" s="206"/>
      <c r="D29" s="206"/>
      <c r="F29" s="1"/>
    </row>
    <row r="30" spans="1:6" ht="12.75">
      <c r="A30" t="s">
        <v>108</v>
      </c>
      <c r="B30" s="197">
        <v>7100</v>
      </c>
      <c r="C30" s="183">
        <v>20</v>
      </c>
      <c r="D30" s="203">
        <f>IF(ISNUMBER(C30),B30+B30*C30*0.01,B30+B30*$C$5%)</f>
        <v>8520</v>
      </c>
      <c r="F30" s="1"/>
    </row>
    <row r="31" spans="1:8" ht="12.75">
      <c r="A31" t="s">
        <v>58</v>
      </c>
      <c r="B31" s="197">
        <v>42100</v>
      </c>
      <c r="C31" s="183">
        <v>20</v>
      </c>
      <c r="D31" s="203">
        <f>IF(ISNUMBER(C31),B31+B31*C31*0.01,B31+B31*$C$5%)</f>
        <v>50520</v>
      </c>
      <c r="F31" s="1"/>
      <c r="H31" s="1"/>
    </row>
    <row r="32" spans="1:6" ht="12.75">
      <c r="A32" t="s">
        <v>59</v>
      </c>
      <c r="B32" s="197">
        <v>11300</v>
      </c>
      <c r="C32" s="183">
        <f>C5</f>
        <v>29.166666666666668</v>
      </c>
      <c r="D32" s="203">
        <f>IF(ISNUMBER(C32),B32+B32*C32*0.01,B32+B32*$C$5%)</f>
        <v>14595.833333333334</v>
      </c>
      <c r="F32" s="1"/>
    </row>
    <row r="33" spans="1:6" ht="12.75">
      <c r="A33" t="s">
        <v>60</v>
      </c>
      <c r="B33" s="197">
        <v>8900</v>
      </c>
      <c r="C33" s="183">
        <f>C5</f>
        <v>29.166666666666668</v>
      </c>
      <c r="D33" s="203">
        <f>IF(ISNUMBER(C33),B33+B33*C33*0.01,B33+B33*$C$5%)</f>
        <v>11495.833333333334</v>
      </c>
      <c r="F33" s="1"/>
    </row>
    <row r="34" spans="1:6" ht="12.75">
      <c r="A34" t="s">
        <v>61</v>
      </c>
      <c r="B34" s="197">
        <v>16300</v>
      </c>
      <c r="C34" s="183">
        <v>18</v>
      </c>
      <c r="D34" s="203">
        <f>IF(ISNUMBER(C34),B34+B34*C34*0.01,B34+B34*$C$5%)</f>
        <v>19234</v>
      </c>
      <c r="F34" s="1"/>
    </row>
    <row r="35" spans="1:6" ht="12.75">
      <c r="A35" t="s">
        <v>62</v>
      </c>
      <c r="B35" s="197">
        <v>15200</v>
      </c>
      <c r="C35" s="182">
        <f>(D35-B35)/B35*100</f>
        <v>30.028684210526297</v>
      </c>
      <c r="D35" s="203">
        <f>+(D8+D9)/100*deductions</f>
        <v>19764.359999999997</v>
      </c>
      <c r="F35" s="43"/>
    </row>
    <row r="36" spans="1:6" ht="12.75">
      <c r="A36" t="s">
        <v>63</v>
      </c>
      <c r="B36" s="197">
        <v>12000</v>
      </c>
      <c r="C36" s="183">
        <v>10</v>
      </c>
      <c r="D36" s="203">
        <f aca="true" t="shared" si="1" ref="D36:D41">IF(ISNUMBER(C36),B36+B36*C36*0.01,B36+B36*$C$5%)</f>
        <v>13200</v>
      </c>
      <c r="E36" s="1"/>
      <c r="F36" s="1"/>
    </row>
    <row r="37" spans="1:6" ht="12.75">
      <c r="A37" t="s">
        <v>64</v>
      </c>
      <c r="B37" s="197">
        <v>27000</v>
      </c>
      <c r="C37" s="183">
        <v>10</v>
      </c>
      <c r="D37" s="203">
        <f t="shared" si="1"/>
        <v>29700</v>
      </c>
      <c r="E37" s="80"/>
      <c r="F37" s="1"/>
    </row>
    <row r="38" spans="1:6" ht="12.75">
      <c r="A38" t="s">
        <v>65</v>
      </c>
      <c r="B38" s="197">
        <v>9990</v>
      </c>
      <c r="C38" s="183">
        <f>C5</f>
        <v>29.166666666666668</v>
      </c>
      <c r="D38" s="203">
        <f t="shared" si="1"/>
        <v>12903.75</v>
      </c>
      <c r="F38" s="1"/>
    </row>
    <row r="39" spans="1:6" ht="12.75">
      <c r="A39" t="s">
        <v>288</v>
      </c>
      <c r="B39" s="197">
        <v>11500</v>
      </c>
      <c r="C39" s="183">
        <v>10</v>
      </c>
      <c r="D39" s="203">
        <f t="shared" si="1"/>
        <v>12650</v>
      </c>
      <c r="F39" s="1"/>
    </row>
    <row r="40" spans="1:6" ht="12.75">
      <c r="A40" t="s">
        <v>66</v>
      </c>
      <c r="B40" s="197">
        <v>7100</v>
      </c>
      <c r="C40" s="183">
        <v>0</v>
      </c>
      <c r="D40" s="203">
        <f t="shared" si="1"/>
        <v>7100</v>
      </c>
      <c r="F40" s="1"/>
    </row>
    <row r="41" spans="1:6" ht="12.75">
      <c r="A41" t="s">
        <v>67</v>
      </c>
      <c r="B41" s="197">
        <v>6200</v>
      </c>
      <c r="C41" s="183">
        <v>15</v>
      </c>
      <c r="D41" s="203">
        <f t="shared" si="1"/>
        <v>7130</v>
      </c>
      <c r="F41" s="1"/>
    </row>
    <row r="42" spans="1:6" ht="12.75">
      <c r="A42" t="s">
        <v>68</v>
      </c>
      <c r="B42" s="18">
        <f>+Expansion!B29</f>
        <v>1430</v>
      </c>
      <c r="C42" s="182">
        <f>(D42-B42)/B42*100</f>
        <v>-7.6923076923076925</v>
      </c>
      <c r="D42" s="203">
        <f>+Expansion!C29</f>
        <v>1320</v>
      </c>
      <c r="F42" s="1"/>
    </row>
    <row r="43" spans="1:6" ht="12.75">
      <c r="A43" t="s">
        <v>289</v>
      </c>
      <c r="B43" s="18">
        <v>3000</v>
      </c>
      <c r="C43" s="183">
        <v>10</v>
      </c>
      <c r="D43" s="203">
        <f>IF(ISNUMBER(C43),B43+B43*C43*0.01,B43+B43*$C$5%)</f>
        <v>3300</v>
      </c>
      <c r="F43" s="1"/>
    </row>
    <row r="44" spans="1:6" ht="12.75">
      <c r="A44" t="s">
        <v>69</v>
      </c>
      <c r="B44" s="197">
        <v>6560</v>
      </c>
      <c r="C44" s="183">
        <f>C5</f>
        <v>29.166666666666668</v>
      </c>
      <c r="D44" s="203">
        <f>IF(ISNUMBER(C44),B44+B44*C44*0.01,B44+B44*$C$5%)</f>
        <v>8473.333333333334</v>
      </c>
      <c r="F44" s="1"/>
    </row>
    <row r="45" spans="1:6" ht="12.75">
      <c r="A45" t="s">
        <v>70</v>
      </c>
      <c r="B45" s="197">
        <v>8100</v>
      </c>
      <c r="C45" s="183">
        <v>10</v>
      </c>
      <c r="D45" s="203">
        <f>IF(ISNUMBER(C45),B45+B45*C45*0.01,B45+B45*$C$5%)</f>
        <v>8910</v>
      </c>
      <c r="E45" s="43"/>
      <c r="F45" s="1"/>
    </row>
    <row r="46" spans="1:6" ht="12.75">
      <c r="A46" t="s">
        <v>71</v>
      </c>
      <c r="B46" s="197">
        <v>2850</v>
      </c>
      <c r="C46" s="183">
        <v>20</v>
      </c>
      <c r="D46" s="203">
        <f>IF(ISNUMBER(C46),B46+B46*C46*0.01,B46+B46*$C$5%)</f>
        <v>3420</v>
      </c>
      <c r="F46" s="1"/>
    </row>
    <row r="47" spans="1:6" ht="12.75">
      <c r="A47" t="s">
        <v>112</v>
      </c>
      <c r="B47" s="18">
        <f>+Loan!B35</f>
        <v>23930</v>
      </c>
      <c r="C47" s="182">
        <f>(D47-B47)/B47*100</f>
        <v>151.18721797880013</v>
      </c>
      <c r="D47" s="193">
        <f>+Loan!C48+Loan!C35</f>
        <v>60109.10126232687</v>
      </c>
      <c r="F47" s="1"/>
    </row>
    <row r="48" spans="1:4" ht="12.75">
      <c r="A48" s="3" t="s">
        <v>72</v>
      </c>
      <c r="B48" s="48">
        <f>SUM(B30:B47)</f>
        <v>220560</v>
      </c>
      <c r="C48" s="182">
        <f>(D48-B48)/B48*100</f>
        <v>32.54724848672782</v>
      </c>
      <c r="D48" s="48">
        <f>SUM(D30:D47)</f>
        <v>292346.21126232686</v>
      </c>
    </row>
    <row r="49" spans="1:4" ht="13.5" thickBot="1">
      <c r="A49" s="17" t="s">
        <v>131</v>
      </c>
      <c r="B49" s="257">
        <f>+B27-B48</f>
        <v>66238.58238372754</v>
      </c>
      <c r="C49" s="20"/>
      <c r="D49" s="257">
        <f>+D27-D48</f>
        <v>76306.32527215435</v>
      </c>
    </row>
    <row r="50" spans="2:4" ht="13.5" thickTop="1">
      <c r="B50" s="206"/>
      <c r="C50" s="206"/>
      <c r="D50" s="206"/>
    </row>
    <row r="51" spans="1:4" ht="13.5" thickBot="1">
      <c r="A51" s="53" t="s">
        <v>130</v>
      </c>
      <c r="B51" s="259">
        <f>+Loan!B34</f>
        <v>16514</v>
      </c>
      <c r="C51" s="207"/>
      <c r="D51" s="258">
        <f>+Loan!C39-D47-D42</f>
        <v>52278.597077342776</v>
      </c>
    </row>
    <row r="52" spans="2:4" ht="12.75">
      <c r="B52" s="206"/>
      <c r="C52" s="206"/>
      <c r="D52" s="206"/>
    </row>
    <row r="53" spans="1:4" ht="13.5" thickBot="1">
      <c r="A53" s="17" t="s">
        <v>73</v>
      </c>
      <c r="B53" s="257">
        <f>+B49-B51</f>
        <v>49724.58238372754</v>
      </c>
      <c r="C53" s="208"/>
      <c r="D53" s="257">
        <f>+D49-D51</f>
        <v>24027.728194811578</v>
      </c>
    </row>
    <row r="54" spans="1:4" ht="13.5" thickTop="1">
      <c r="A54" s="22"/>
      <c r="B54" s="206"/>
      <c r="C54" s="206"/>
      <c r="D54" s="206"/>
    </row>
    <row r="55" spans="1:4" ht="12.75">
      <c r="A55" s="3" t="s">
        <v>142</v>
      </c>
      <c r="B55" s="256">
        <f>(B47+B42+B51)/B8</f>
        <v>0.11599799086757992</v>
      </c>
      <c r="C55" s="18"/>
      <c r="D55" s="256">
        <f>(D47+D42+D51)/D8</f>
        <v>0.238181186300104</v>
      </c>
    </row>
    <row r="56" spans="2:4" ht="12.75">
      <c r="B56" s="206"/>
      <c r="C56" s="206"/>
      <c r="D56" s="206"/>
    </row>
    <row r="57" spans="1:4" ht="12.75">
      <c r="A57" s="28"/>
      <c r="B57" s="29"/>
      <c r="C57" s="3"/>
      <c r="D57" s="29"/>
    </row>
    <row r="60" spans="2:4" ht="12.75">
      <c r="B60" s="54"/>
      <c r="D60" s="54"/>
    </row>
    <row r="62" spans="2:4" ht="12.75">
      <c r="B62" s="129"/>
      <c r="C62" s="129"/>
      <c r="D62" s="129"/>
    </row>
    <row r="100" ht="12.75" hidden="1"/>
    <row r="101" spans="1:4" ht="12.75" hidden="1">
      <c r="A101" s="146" t="s">
        <v>306</v>
      </c>
      <c r="B101" s="147">
        <f>B8*B10%</f>
        <v>13140</v>
      </c>
      <c r="D101" s="147">
        <f>D8*D10%</f>
        <v>17377.36</v>
      </c>
    </row>
    <row r="102" spans="1:4" ht="12.75" hidden="1">
      <c r="A102" s="148" t="s">
        <v>307</v>
      </c>
      <c r="B102" s="149">
        <f>B101*'Milk Price and Test'!$D$33</f>
        <v>30879</v>
      </c>
      <c r="D102" s="149">
        <f>D101*'Milk Price and Test'!$D$33</f>
        <v>40836.796</v>
      </c>
    </row>
    <row r="103" spans="1:4" ht="12.75" hidden="1">
      <c r="A103" s="150" t="s">
        <v>308</v>
      </c>
      <c r="B103" s="85">
        <f>B8*B11%+B12%*B8</f>
        <v>32705.604395604394</v>
      </c>
      <c r="D103" s="85">
        <f>D8*D11%+D12%*D8</f>
        <v>43252.44</v>
      </c>
    </row>
    <row r="104" spans="1:4" ht="12.75" hidden="1">
      <c r="A104" s="150" t="s">
        <v>309</v>
      </c>
      <c r="B104" s="85">
        <f>B$8*B11%</f>
        <v>12057.032967032967</v>
      </c>
      <c r="D104" s="85">
        <f>D$8*D11%</f>
        <v>15945.16</v>
      </c>
    </row>
    <row r="105" spans="1:4" ht="12.75" hidden="1">
      <c r="A105" s="150" t="s">
        <v>310</v>
      </c>
      <c r="B105" s="85">
        <f>B$8*B12%</f>
        <v>20648.571428571428</v>
      </c>
      <c r="D105" s="85">
        <f>D$8*D12%</f>
        <v>27307.28</v>
      </c>
    </row>
    <row r="106" spans="1:4" ht="12.75" hidden="1">
      <c r="A106" s="150" t="s">
        <v>311</v>
      </c>
      <c r="B106" s="100">
        <f>IF(B13&gt;'Milk Price and Test'!D33,B104-B102*B104/(B104+B105),0)</f>
        <v>673.3839604104487</v>
      </c>
      <c r="D106" s="100">
        <f>IF(D13&gt;'Milk Price and Test'!$D$33,D104-D$102*D104/(D$104+D$105),0)</f>
        <v>890.5354260485656</v>
      </c>
    </row>
    <row r="107" spans="1:4" ht="12.75" hidden="1">
      <c r="A107" s="150" t="s">
        <v>312</v>
      </c>
      <c r="B107" s="100">
        <f>IF(B13&gt;'Milk Price and Test'!D33,B105-B102*B105/(B104+B105),0)</f>
        <v>1153.2204351939436</v>
      </c>
      <c r="D107" s="100">
        <f>IF(D13&gt;'Milk Price and Test'!$D$33,D105-D$102*D105/(D$104+D$105),0)</f>
        <v>1525.1085739514347</v>
      </c>
    </row>
    <row r="108" ht="12.75" hidden="1"/>
    <row r="109" ht="12.75" hidden="1"/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="90" zoomScaleNormal="90" zoomScalePageLayoutView="0" workbookViewId="0" topLeftCell="A7">
      <selection activeCell="F30" sqref="F30"/>
    </sheetView>
  </sheetViews>
  <sheetFormatPr defaultColWidth="9.140625" defaultRowHeight="12.75"/>
  <cols>
    <col min="1" max="1" width="64.7109375" style="0" customWidth="1"/>
    <col min="2" max="2" width="16.421875" style="0" bestFit="1" customWidth="1"/>
    <col min="3" max="3" width="17.8515625" style="0" bestFit="1" customWidth="1"/>
    <col min="5" max="5" width="0.13671875" style="0" customWidth="1"/>
    <col min="6" max="6" width="21.00390625" style="0" customWidth="1"/>
    <col min="7" max="7" width="13.57421875" style="0" customWidth="1"/>
    <col min="8" max="9" width="13.8515625" style="0" bestFit="1" customWidth="1"/>
    <col min="10" max="10" width="12.00390625" style="0" customWidth="1"/>
  </cols>
  <sheetData>
    <row r="1" spans="1:11" ht="38.25" customHeight="1">
      <c r="A1" s="229" t="s">
        <v>135</v>
      </c>
      <c r="B1" s="230"/>
      <c r="C1" s="231"/>
      <c r="F1" s="81" t="s">
        <v>326</v>
      </c>
      <c r="G1" s="81"/>
      <c r="J1" s="14"/>
      <c r="K1" s="14"/>
    </row>
    <row r="2" spans="1:11" ht="12.75">
      <c r="A2" s="33"/>
      <c r="B2" s="33"/>
      <c r="C2" s="4" t="s">
        <v>2</v>
      </c>
      <c r="G2" s="84" t="s">
        <v>189</v>
      </c>
      <c r="H2" s="84" t="s">
        <v>190</v>
      </c>
      <c r="I2" s="124" t="s">
        <v>191</v>
      </c>
      <c r="J2" s="167"/>
      <c r="K2" s="167"/>
    </row>
    <row r="3" spans="1:11" ht="12.75">
      <c r="A3" s="3" t="s">
        <v>24</v>
      </c>
      <c r="B3" s="3"/>
      <c r="C3" s="263">
        <f>+Expansion!C34</f>
        <v>356400</v>
      </c>
      <c r="F3" t="s">
        <v>265</v>
      </c>
      <c r="G3" s="85">
        <f>Options!C8*Expansion!$C$18</f>
        <v>-11606.597260273882</v>
      </c>
      <c r="H3" s="85">
        <f>Options!D8*Expansion!$C$18</f>
        <v>89100</v>
      </c>
      <c r="I3" s="85">
        <f>Options!E8*Expansion!$C$18</f>
        <v>89100</v>
      </c>
      <c r="J3" s="94"/>
      <c r="K3" s="168"/>
    </row>
    <row r="4" spans="1:11" ht="12.75">
      <c r="A4" t="s">
        <v>25</v>
      </c>
      <c r="C4" s="37">
        <v>6</v>
      </c>
      <c r="F4" s="81" t="s">
        <v>263</v>
      </c>
      <c r="G4" s="37">
        <f>Loan!$C$4</f>
        <v>6</v>
      </c>
      <c r="H4" s="37">
        <f>Loan!$C$4</f>
        <v>6</v>
      </c>
      <c r="I4" s="37">
        <f>Loan!$C$4</f>
        <v>6</v>
      </c>
      <c r="J4" s="95"/>
      <c r="K4" s="95"/>
    </row>
    <row r="5" spans="1:11" ht="12.75">
      <c r="A5" t="s">
        <v>26</v>
      </c>
      <c r="C5" s="37">
        <v>10</v>
      </c>
      <c r="F5" s="113" t="s">
        <v>264</v>
      </c>
      <c r="G5" s="37">
        <f>Loan!$C$5</f>
        <v>10</v>
      </c>
      <c r="H5" s="37">
        <f>Loan!$C$5</f>
        <v>10</v>
      </c>
      <c r="I5" s="37">
        <f>Loan!$C$5</f>
        <v>10</v>
      </c>
      <c r="J5" s="95"/>
      <c r="K5" s="95"/>
    </row>
    <row r="6" spans="1:11" ht="12.75">
      <c r="A6" t="s">
        <v>27</v>
      </c>
      <c r="C6" s="37">
        <v>12</v>
      </c>
      <c r="F6" s="113" t="s">
        <v>259</v>
      </c>
      <c r="G6" s="37">
        <f>Loan!$C$6</f>
        <v>12</v>
      </c>
      <c r="H6" s="37">
        <f>Loan!$C$6</f>
        <v>12</v>
      </c>
      <c r="I6" s="37">
        <f>Loan!$C$6</f>
        <v>12</v>
      </c>
      <c r="J6" s="95"/>
      <c r="K6" s="95"/>
    </row>
    <row r="7" spans="1:12" ht="12.75">
      <c r="A7" s="8" t="s">
        <v>28</v>
      </c>
      <c r="B7" s="8"/>
      <c r="C7" s="38">
        <v>12</v>
      </c>
      <c r="F7" t="s">
        <v>255</v>
      </c>
      <c r="G7" s="37">
        <f>Loan!$C$7</f>
        <v>12</v>
      </c>
      <c r="H7" s="38">
        <f>Loan!$C$7</f>
        <v>12</v>
      </c>
      <c r="I7" s="37">
        <f>Loan!$C$7</f>
        <v>12</v>
      </c>
      <c r="J7" s="95"/>
      <c r="K7" s="95"/>
      <c r="L7" t="s">
        <v>327</v>
      </c>
    </row>
    <row r="8" spans="1:11" ht="12.75">
      <c r="A8" s="9" t="s">
        <v>29</v>
      </c>
      <c r="B8" s="9"/>
      <c r="C8" s="260">
        <f>IF(AND(AND(AND(AND(C5&gt;=1,C6&gt;=1),C7&gt;=1),Expansion!C19&gt;=0),C4&gt;=0),IF(C4=0,Expansion!C19/C5/C6,((1+(C4/(C7*100)))^(C7/C6)-1)/(1-((1/(1+((1+(C4/(C7*100)))^(C7/C6)-1))^(C6*C5))))*Expansion!C19),#VALUE!)</f>
        <v>3956.7706892003894</v>
      </c>
      <c r="F8" s="81" t="s">
        <v>260</v>
      </c>
      <c r="G8" s="260">
        <f>IF(AND(AND(AND(G5&gt;=1,G6&gt;=1),G7&gt;=1),G4&gt;=0),IF(G4=0,G3/G5/G6,((1+(G4/(G7*100)))^(G7/G6)-1)/(1-((1/(1+((1+(G4/(G7*100)))^(G7/G6)-1))^(G6*G5))))*G3),#VALUE!)</f>
        <v>-128.85702536701808</v>
      </c>
      <c r="H8" s="260">
        <f>IF(AND(AND(AND(H5&gt;=1,H6&gt;=1),H7&gt;=1),H4&gt;=0),IF(H4=0,H3/H5/H6,((1+(H4/(H7*100)))^(H7/H6)-1)/(1-((1/(1+((1+(H4/(H7*100)))^(H7/H6)-1))^(H6*H5))))*H3),#VALUE!)</f>
        <v>989.1926723000973</v>
      </c>
      <c r="I8" s="260">
        <f>IF(AND(AND(AND(I5&gt;=1,I6&gt;=1),I7&gt;=1),I4&gt;=0),IF(I4=0,I3/I5/I6,((1+(I4/(I7*100)))^(I7/I6)-1)/(1-((1/(1+((1+(I4/(I7*100)))^(I7/I6)-1))^(I6*I5))))*I3),#VALUE!)</f>
        <v>989.1926723000973</v>
      </c>
      <c r="J8" s="15"/>
      <c r="K8" s="15"/>
    </row>
    <row r="9" spans="1:11" ht="12.75">
      <c r="A9" s="82" t="s">
        <v>253</v>
      </c>
      <c r="B9" s="52"/>
      <c r="C9" s="261">
        <f>IF(C8&gt;0,CUMIPMT(C4/100/12,C5*C6,C3,1,C6,0)*-1,0)</f>
        <v>20654.228787018732</v>
      </c>
      <c r="F9" s="81" t="s">
        <v>261</v>
      </c>
      <c r="G9" s="261">
        <f>IF(G3&lt;&gt;0,IF(G3&gt;0,CUMIPMT(G4/100/12,G5*G6,G3,1,G6,0)*-1,CUMIPMT(G4/100/12,G5*G6,-G3,1,G6,0)),0)</f>
        <v>-672.6299530092077</v>
      </c>
      <c r="H9" s="261">
        <f>IF(H3&lt;&gt;0,IF(H3&gt;0,CUMIPMT(H4/100/12,H5*H6,H3,1,H6,0)*-1,CUMIPMT(H4/100/12,H5*H6,-H3,1,H6,0)),0)</f>
        <v>5163.557196754683</v>
      </c>
      <c r="I9" s="261">
        <f>IF(I3&lt;&gt;0,IF(I3&gt;0,CUMIPMT(I4/100/12,I5*I6,I3,1,I6,0)*-1,CUMIPMT(I4/100/12,I5*I6,-I3,1,I6,0)),0)</f>
        <v>5163.557196754683</v>
      </c>
      <c r="J9" s="15"/>
      <c r="K9" s="15"/>
    </row>
    <row r="10" spans="1:11" ht="13.5" thickBot="1">
      <c r="A10" s="17" t="s">
        <v>139</v>
      </c>
      <c r="B10" s="17"/>
      <c r="C10" s="262">
        <f>+C8*C6</f>
        <v>47481.24827040467</v>
      </c>
      <c r="F10" s="81" t="s">
        <v>262</v>
      </c>
      <c r="G10" s="262">
        <f>+G8*G6</f>
        <v>-1546.284304404217</v>
      </c>
      <c r="H10" s="262">
        <f>+H8*H6</f>
        <v>11870.312067601168</v>
      </c>
      <c r="I10" s="262">
        <f>+I8*I6</f>
        <v>11870.312067601168</v>
      </c>
      <c r="J10" s="26"/>
      <c r="K10" s="26"/>
    </row>
    <row r="11" spans="10:11" ht="13.5" thickTop="1">
      <c r="J11" s="14"/>
      <c r="K11" s="14"/>
    </row>
    <row r="12" spans="1:11" ht="12.75">
      <c r="A12" s="3" t="s">
        <v>30</v>
      </c>
      <c r="B12" s="3"/>
      <c r="C12" s="263">
        <f>+Expansion!C33</f>
        <v>12800</v>
      </c>
      <c r="J12" s="14"/>
      <c r="K12" s="14"/>
    </row>
    <row r="13" spans="1:6" ht="13.5" thickBot="1">
      <c r="A13" t="s">
        <v>25</v>
      </c>
      <c r="C13" s="37">
        <v>6</v>
      </c>
      <c r="F13" s="15"/>
    </row>
    <row r="14" spans="1:10" ht="12.75">
      <c r="A14" t="s">
        <v>26</v>
      </c>
      <c r="C14" s="37">
        <v>5</v>
      </c>
      <c r="F14" s="232" t="s">
        <v>328</v>
      </c>
      <c r="G14" s="233"/>
      <c r="H14" s="233"/>
      <c r="I14" s="233"/>
      <c r="J14" s="234"/>
    </row>
    <row r="15" spans="1:10" ht="12.75">
      <c r="A15" t="s">
        <v>27</v>
      </c>
      <c r="C15" s="37">
        <v>12</v>
      </c>
      <c r="F15" s="235" t="s">
        <v>329</v>
      </c>
      <c r="G15" s="236"/>
      <c r="H15" s="236"/>
      <c r="I15" s="236"/>
      <c r="J15" s="237"/>
    </row>
    <row r="16" spans="1:10" ht="12.75">
      <c r="A16" s="8" t="s">
        <v>28</v>
      </c>
      <c r="B16" s="8"/>
      <c r="C16" s="38">
        <v>12</v>
      </c>
      <c r="F16" s="235"/>
      <c r="G16" s="236"/>
      <c r="H16" s="236"/>
      <c r="I16" s="236"/>
      <c r="J16" s="237"/>
    </row>
    <row r="17" spans="1:10" ht="13.5" thickBot="1">
      <c r="A17" s="9" t="s">
        <v>29</v>
      </c>
      <c r="B17" s="9"/>
      <c r="C17" s="260">
        <f>IF(AND(AND(AND(AND(C14&gt;=1,C15&gt;=1),C16&gt;=1),Expansion!C24&gt;=0),C13&gt;=0),IF(C13=0,Expansion!C24/C14/C15,((1+(C13/(C16*100)))^(C16/C15)-1)/(1-((1/(1+((1+(C13/(C16*100)))^(C16/C15)-1))^(C15*C14))))*Expansion!C24),#VALUE!)</f>
        <v>247.45985957667855</v>
      </c>
      <c r="F17" s="238" t="s">
        <v>330</v>
      </c>
      <c r="G17" s="242"/>
      <c r="H17" s="242"/>
      <c r="I17" s="242"/>
      <c r="J17" s="243"/>
    </row>
    <row r="18" spans="1:3" ht="12.75">
      <c r="A18" s="82" t="s">
        <v>253</v>
      </c>
      <c r="B18" s="52"/>
      <c r="C18" s="261">
        <f>IF(C17&gt;0,CUMIPMT(C13/100/12,C14*C15,C12,1,C15,0)*-1,0)</f>
        <v>706.4377741885646</v>
      </c>
    </row>
    <row r="19" spans="1:3" ht="13.5" thickBot="1">
      <c r="A19" s="17" t="s">
        <v>140</v>
      </c>
      <c r="B19" s="17"/>
      <c r="C19" s="262">
        <f>+C17*C15</f>
        <v>2969.5183149201425</v>
      </c>
    </row>
    <row r="20" spans="1:3" ht="13.5" thickTop="1">
      <c r="A20" s="22"/>
      <c r="B20" s="22"/>
      <c r="C20" s="26"/>
    </row>
    <row r="21" spans="1:3" ht="12.75">
      <c r="A21" s="106" t="s">
        <v>323</v>
      </c>
      <c r="B21" s="3"/>
      <c r="C21" s="263">
        <f>Expansion!C15</f>
        <v>250000</v>
      </c>
    </row>
    <row r="22" spans="1:3" ht="12.75">
      <c r="A22" t="s">
        <v>25</v>
      </c>
      <c r="C22" s="37">
        <v>6</v>
      </c>
    </row>
    <row r="23" spans="1:3" ht="12.75">
      <c r="A23" t="s">
        <v>26</v>
      </c>
      <c r="C23" s="37">
        <v>20</v>
      </c>
    </row>
    <row r="24" spans="1:3" ht="12.75">
      <c r="A24" t="s">
        <v>27</v>
      </c>
      <c r="C24" s="37">
        <v>12</v>
      </c>
    </row>
    <row r="25" spans="1:3" ht="12.75">
      <c r="A25" s="8" t="s">
        <v>28</v>
      </c>
      <c r="B25" s="8"/>
      <c r="C25" s="38">
        <v>12</v>
      </c>
    </row>
    <row r="26" spans="1:3" ht="12.75">
      <c r="A26" s="9" t="s">
        <v>29</v>
      </c>
      <c r="B26" s="9"/>
      <c r="C26" s="260">
        <f>IF(AND(AND(AND(AND(C23&gt;=1,C24&gt;=1),C25&gt;=1),Expansion!C15&gt;=0),C22&gt;=0),IF(C22=0,Expansion!C15/C23/C24,((1+(C22/(C25*100)))^(C25/C24)-1)/(1-((1/(1+((1+(C22/(C25*100)))^(C25/C24)-1))^(C24*C23))))*Expansion!C15),#VALUE!)</f>
        <v>1791.0776461954024</v>
      </c>
    </row>
    <row r="27" spans="1:3" ht="12.75">
      <c r="A27" s="82" t="s">
        <v>253</v>
      </c>
      <c r="B27" s="52"/>
      <c r="C27" s="261">
        <f>IF(C26&gt;0,CUMIPMT(C22/100/12,C23*C24,C21,1,C24,0)*-1,0)</f>
        <v>14818.43470111957</v>
      </c>
    </row>
    <row r="28" spans="1:3" ht="13.5" thickBot="1">
      <c r="A28" s="17" t="s">
        <v>141</v>
      </c>
      <c r="B28" s="17"/>
      <c r="C28" s="262">
        <f>+C26*C24</f>
        <v>21492.931754344827</v>
      </c>
    </row>
    <row r="29" ht="13.5" thickTop="1"/>
    <row r="30" spans="1:3" ht="15.75">
      <c r="A30" s="70" t="s">
        <v>136</v>
      </c>
      <c r="B30" s="8"/>
      <c r="C30" s="264">
        <f>+C10+C19+C28</f>
        <v>71943.69833966965</v>
      </c>
    </row>
    <row r="31" ht="12.75">
      <c r="A31" s="32" t="s">
        <v>31</v>
      </c>
    </row>
    <row r="33" spans="2:5" ht="12.75">
      <c r="B33" s="4" t="s">
        <v>1</v>
      </c>
      <c r="C33" s="4" t="s">
        <v>2</v>
      </c>
      <c r="E33" s="81"/>
    </row>
    <row r="34" spans="1:3" ht="12.75">
      <c r="A34" s="31" t="s">
        <v>132</v>
      </c>
      <c r="B34" s="265">
        <f>27447-10933</f>
        <v>16514</v>
      </c>
      <c r="C34" s="265">
        <f>B34</f>
        <v>16514</v>
      </c>
    </row>
    <row r="35" spans="1:3" ht="12.75">
      <c r="A35" s="31" t="s">
        <v>143</v>
      </c>
      <c r="B35" s="265">
        <v>23930</v>
      </c>
      <c r="C35" s="265">
        <f>B35</f>
        <v>23930</v>
      </c>
    </row>
    <row r="36" spans="1:3" ht="12.75">
      <c r="A36" s="31" t="s">
        <v>144</v>
      </c>
      <c r="B36" s="266">
        <f>Expansion!B29</f>
        <v>1430</v>
      </c>
      <c r="C36" s="266">
        <f>B36</f>
        <v>1430</v>
      </c>
    </row>
    <row r="37" spans="1:3" ht="13.5" thickBot="1">
      <c r="A37" s="66" t="s">
        <v>145</v>
      </c>
      <c r="B37" s="267">
        <f>SUM(B33:B35)+Expansion!B29</f>
        <v>41874</v>
      </c>
      <c r="C37" s="267">
        <f>SUM(C33:C35)+Expansion!C29</f>
        <v>41764</v>
      </c>
    </row>
    <row r="38" ht="13.5" thickTop="1"/>
    <row r="39" spans="1:3" ht="16.5" thickBot="1">
      <c r="A39" s="71" t="s">
        <v>137</v>
      </c>
      <c r="B39" s="268">
        <f>+B30+B37</f>
        <v>41874</v>
      </c>
      <c r="C39" s="268">
        <f>C30+C37</f>
        <v>113707.69833966965</v>
      </c>
    </row>
    <row r="40" ht="13.5" thickTop="1">
      <c r="A40" s="32"/>
    </row>
    <row r="41" spans="1:3" ht="15.75">
      <c r="A41" s="70" t="s">
        <v>138</v>
      </c>
      <c r="B41" s="264">
        <f>+Report!B55</f>
        <v>0.11599799086757992</v>
      </c>
      <c r="C41" s="264">
        <f>+Report!D55</f>
        <v>0.238181186300104</v>
      </c>
    </row>
    <row r="42" spans="1:3" ht="15.75">
      <c r="A42" s="70" t="s">
        <v>106</v>
      </c>
      <c r="B42" s="264">
        <f>+Report!B17</f>
        <v>1.0360426179604263</v>
      </c>
      <c r="C42" s="264">
        <f>+Report!D17</f>
        <v>2.045844155844156</v>
      </c>
    </row>
    <row r="48" spans="1:3" ht="12.75">
      <c r="A48" s="55" t="s">
        <v>113</v>
      </c>
      <c r="B48" s="55"/>
      <c r="C48" s="269">
        <f>+C9+C18+C27</f>
        <v>36179.10126232687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zoomScaleSheetLayoutView="75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5.28125" style="0" customWidth="1"/>
    <col min="2" max="2" width="20.7109375" style="0" customWidth="1"/>
    <col min="3" max="3" width="17.7109375" style="0" customWidth="1"/>
    <col min="4" max="4" width="18.28125" style="0" customWidth="1"/>
    <col min="5" max="5" width="17.00390625" style="0" customWidth="1"/>
    <col min="6" max="7" width="17.00390625" style="14" customWidth="1"/>
    <col min="8" max="8" width="18.421875" style="14" customWidth="1"/>
    <col min="9" max="36" width="17.57421875" style="0" customWidth="1"/>
  </cols>
  <sheetData>
    <row r="1" spans="1:8" ht="56.25" customHeight="1" thickBot="1">
      <c r="A1" s="211" t="s">
        <v>338</v>
      </c>
      <c r="B1" s="218" t="s">
        <v>266</v>
      </c>
      <c r="C1" s="93" t="s">
        <v>324</v>
      </c>
      <c r="D1" s="83" t="s">
        <v>257</v>
      </c>
      <c r="E1" s="83" t="s">
        <v>258</v>
      </c>
      <c r="F1" s="165"/>
      <c r="G1" s="166"/>
      <c r="H1" s="156"/>
    </row>
    <row r="2" spans="1:5" ht="13.5" thickBot="1">
      <c r="A2" s="188">
        <f ca="1">NOW()</f>
        <v>43008.71851064815</v>
      </c>
      <c r="B2" s="219" t="s">
        <v>188</v>
      </c>
      <c r="C2" s="11" t="s">
        <v>189</v>
      </c>
      <c r="D2" s="11" t="s">
        <v>190</v>
      </c>
      <c r="E2" s="220" t="s">
        <v>191</v>
      </c>
    </row>
    <row r="3" ht="12.75">
      <c r="A3" s="14"/>
    </row>
    <row r="4" spans="1:8" s="3" customFormat="1" ht="12.75">
      <c r="A4" s="22" t="s">
        <v>38</v>
      </c>
      <c r="F4" s="157"/>
      <c r="G4" s="157"/>
      <c r="H4" s="157"/>
    </row>
    <row r="5" spans="1:8" ht="12.75">
      <c r="A5" t="s">
        <v>134</v>
      </c>
      <c r="B5" s="90">
        <f>Report!$D$5</f>
        <v>62</v>
      </c>
      <c r="C5" s="90">
        <f>Report!$D$5</f>
        <v>62</v>
      </c>
      <c r="D5" s="136">
        <f>Report!$D$5</f>
        <v>62</v>
      </c>
      <c r="E5" s="136">
        <f>Report!$D$5</f>
        <v>62</v>
      </c>
      <c r="F5" s="158"/>
      <c r="G5" s="158"/>
      <c r="H5" s="158"/>
    </row>
    <row r="6" spans="1:8" ht="12.75">
      <c r="A6" t="s">
        <v>41</v>
      </c>
      <c r="B6" s="90">
        <f>Report!$D$6</f>
        <v>7700</v>
      </c>
      <c r="C6" s="90">
        <f>Report!$D$6</f>
        <v>7700</v>
      </c>
      <c r="D6" s="37">
        <v>7700</v>
      </c>
      <c r="E6" s="37">
        <v>8000</v>
      </c>
      <c r="F6" s="158"/>
      <c r="G6" s="158"/>
      <c r="H6" s="158"/>
    </row>
    <row r="7" spans="1:8" ht="12.75">
      <c r="A7" t="s">
        <v>42</v>
      </c>
      <c r="B7" s="91">
        <f>Report!$D$7</f>
        <v>48</v>
      </c>
      <c r="C7" s="91">
        <f>Report!$D$7</f>
        <v>48</v>
      </c>
      <c r="D7" s="91">
        <f>Report!$D$7</f>
        <v>48</v>
      </c>
      <c r="E7" s="91">
        <f>Report!$D$7</f>
        <v>48</v>
      </c>
      <c r="F7" s="159"/>
      <c r="G7" s="159"/>
      <c r="H7" s="159"/>
    </row>
    <row r="8" spans="1:9" ht="12.75">
      <c r="A8" s="113" t="s">
        <v>325</v>
      </c>
      <c r="B8" s="120">
        <v>0</v>
      </c>
      <c r="C8" s="114">
        <f>(C5*C6*C12%/365)-C7</f>
        <v>-0.39079452054794217</v>
      </c>
      <c r="D8" s="178">
        <v>3</v>
      </c>
      <c r="E8" s="178">
        <v>3</v>
      </c>
      <c r="F8" s="121"/>
      <c r="G8" s="114"/>
      <c r="H8" s="121"/>
      <c r="I8" s="14"/>
    </row>
    <row r="9" spans="1:9" ht="12.75">
      <c r="A9" s="14" t="s">
        <v>104</v>
      </c>
      <c r="B9" s="110">
        <f>IF(B5*B6&lt;(B7+B8)*365/B12/0.01,B5*B6,(B7+B8)*365/B12/0.01)</f>
        <v>477400</v>
      </c>
      <c r="C9" s="110">
        <f>IF(C5*C6&lt;(C7+C8)*365/C12/0.01,C5*C6,(C7+C8)*365/C12/0.01)</f>
        <v>477400</v>
      </c>
      <c r="D9" s="110">
        <f>IF(D5*D6&lt;(D7+D8)*365/D12/0.01,D5*D6,(D7+D8)*365/D12/0.01)</f>
        <v>477307.69230769225</v>
      </c>
      <c r="E9" s="110">
        <f>IF(E5*E6&lt;(E7+E8)*365/E12/0.01,E5*E6,(E7+E8)*365/E12/0.01)</f>
        <v>496000</v>
      </c>
      <c r="F9" s="110"/>
      <c r="G9" s="110"/>
      <c r="H9" s="110"/>
      <c r="I9" s="14"/>
    </row>
    <row r="10" spans="1:9" ht="12.75">
      <c r="A10" s="111" t="s">
        <v>293</v>
      </c>
      <c r="B10" s="112">
        <f>B5*B6-B9</f>
        <v>0</v>
      </c>
      <c r="C10" s="112">
        <f>C5*C6-C9</f>
        <v>0</v>
      </c>
      <c r="D10" s="112">
        <f>D5*D6-D9</f>
        <v>92.30769230774604</v>
      </c>
      <c r="E10" s="112">
        <f>E5*E6-E9</f>
        <v>0</v>
      </c>
      <c r="F10" s="112"/>
      <c r="G10" s="112"/>
      <c r="H10" s="112"/>
      <c r="I10" s="122"/>
    </row>
    <row r="11" spans="1:9" ht="12.75">
      <c r="A11" s="137" t="s">
        <v>256</v>
      </c>
      <c r="B11" s="125">
        <f>IF((B7+B8)*365/B12%-B9&lt;0,0,(B7+B8)*365/B12%-B9)</f>
        <v>3918.6813186812797</v>
      </c>
      <c r="C11" s="125">
        <f>IF((C7+C8)*365/C12%-C9&lt;0,0,(C7+C8)*365/C12%-C9)</f>
        <v>0</v>
      </c>
      <c r="D11" s="125">
        <f>IF((D7+D8)*365/D12%-D9&lt;0,0,(D7+D8)*365/D12%-D9)</f>
        <v>5.820766091346741E-11</v>
      </c>
      <c r="E11" s="125">
        <f>IF((E7+E8)*365/E12%-E9&lt;0,0,(E7+E8)*365/E12%-E9)</f>
        <v>7108.108108108048</v>
      </c>
      <c r="F11" s="125"/>
      <c r="G11" s="125"/>
      <c r="H11" s="125"/>
      <c r="I11" s="14"/>
    </row>
    <row r="12" spans="1:9" ht="12.75">
      <c r="A12" s="14" t="s">
        <v>44</v>
      </c>
      <c r="B12" s="126">
        <f>Report!$D$10</f>
        <v>3.64</v>
      </c>
      <c r="C12" s="126">
        <f>Report!$D$10</f>
        <v>3.64</v>
      </c>
      <c r="D12" s="127">
        <v>3.9</v>
      </c>
      <c r="E12" s="127">
        <v>3.7</v>
      </c>
      <c r="F12" s="126"/>
      <c r="G12" s="126"/>
      <c r="H12" s="126"/>
      <c r="I12" s="14"/>
    </row>
    <row r="13" spans="1:9" ht="12.75">
      <c r="A13" s="14" t="s">
        <v>45</v>
      </c>
      <c r="B13" s="114">
        <f>Report!$D$11</f>
        <v>3.34</v>
      </c>
      <c r="C13" s="114">
        <f>Report!$D$11</f>
        <v>3.34</v>
      </c>
      <c r="D13" s="95">
        <v>3.36</v>
      </c>
      <c r="E13" s="95">
        <v>3.36</v>
      </c>
      <c r="F13" s="114"/>
      <c r="G13" s="114"/>
      <c r="H13" s="114"/>
      <c r="I13" s="14"/>
    </row>
    <row r="14" spans="1:9" ht="12.75">
      <c r="A14" s="14" t="s">
        <v>275</v>
      </c>
      <c r="B14" s="114">
        <f>Report!$D$12</f>
        <v>5.72</v>
      </c>
      <c r="C14" s="114">
        <f>Report!$D$12</f>
        <v>5.72</v>
      </c>
      <c r="D14" s="114">
        <f>Report!$D$12</f>
        <v>5.72</v>
      </c>
      <c r="E14" s="114">
        <f>Report!$D$12</f>
        <v>5.72</v>
      </c>
      <c r="F14" s="114"/>
      <c r="G14" s="114"/>
      <c r="H14" s="114"/>
      <c r="I14" s="14"/>
    </row>
    <row r="15" spans="1:9" ht="12.75">
      <c r="A15" s="81" t="s">
        <v>302</v>
      </c>
      <c r="B15" s="72">
        <f>(B13+B14)/B12</f>
        <v>2.4890109890109886</v>
      </c>
      <c r="C15" s="72">
        <f>(C13+C14)/C12</f>
        <v>2.4890109890109886</v>
      </c>
      <c r="D15" s="72">
        <f>(D13+D14)/D12</f>
        <v>2.3282051282051284</v>
      </c>
      <c r="E15" s="72">
        <f>(E13+E14)/E12</f>
        <v>2.454054054054054</v>
      </c>
      <c r="F15" s="72"/>
      <c r="G15" s="72"/>
      <c r="H15" s="114"/>
      <c r="I15" s="14"/>
    </row>
    <row r="16" spans="1:9" ht="12.75">
      <c r="A16" s="14" t="s">
        <v>46</v>
      </c>
      <c r="B16" s="112">
        <f>Report!$D$14</f>
        <v>260</v>
      </c>
      <c r="C16" s="112">
        <f>Report!$D$14</f>
        <v>260</v>
      </c>
      <c r="D16" s="40">
        <v>260</v>
      </c>
      <c r="E16" s="40">
        <v>260</v>
      </c>
      <c r="F16" s="112"/>
      <c r="G16" s="112"/>
      <c r="H16" s="112"/>
      <c r="I16" s="14"/>
    </row>
    <row r="17" spans="1:10" ht="12.75">
      <c r="A17" s="14" t="s">
        <v>47</v>
      </c>
      <c r="B17" s="115">
        <f>B16/B5</f>
        <v>4.193548387096774</v>
      </c>
      <c r="C17" s="115">
        <f>C16/C5</f>
        <v>4.193548387096774</v>
      </c>
      <c r="D17" s="115">
        <f>D16/D5</f>
        <v>4.193548387096774</v>
      </c>
      <c r="E17" s="115">
        <f>E16/E5</f>
        <v>4.193548387096774</v>
      </c>
      <c r="F17" s="115"/>
      <c r="G17" s="115"/>
      <c r="H17" s="115"/>
      <c r="I17" s="14"/>
      <c r="J17" s="123"/>
    </row>
    <row r="18" spans="1:9" ht="12.75">
      <c r="A18" s="116" t="s">
        <v>48</v>
      </c>
      <c r="B18" s="117">
        <f>1-Expansion!C36/Expansion!C7</f>
        <v>0.5461918037357123</v>
      </c>
      <c r="C18" s="118">
        <f>1-(Expansion!$C$36+C8*Expansion!$C$18)/(Expansion!$C$7+Options!C8*Expansion!$C$18)</f>
        <v>0.5491533322000667</v>
      </c>
      <c r="D18" s="118">
        <f>1-(Expansion!$C$36+D8*Expansion!$C$18)/(Expansion!$C$7+Options!D8*Expansion!$C$18)</f>
        <v>0.5244786507830277</v>
      </c>
      <c r="E18" s="118">
        <f>1-(Expansion!$C$36+E8*Expansion!$C$18)/(Expansion!$C$7+Options!E8*Expansion!$C$18)</f>
        <v>0.5244786507830277</v>
      </c>
      <c r="F18" s="117"/>
      <c r="G18" s="118"/>
      <c r="H18" s="117"/>
      <c r="I18" s="14"/>
    </row>
    <row r="19" spans="1:8" ht="12.75">
      <c r="A19" s="22" t="s">
        <v>106</v>
      </c>
      <c r="B19" s="270">
        <f>B20/B9</f>
        <v>2.045844155844156</v>
      </c>
      <c r="C19" s="270">
        <f>C20/C9</f>
        <v>2.0215320543354127</v>
      </c>
      <c r="D19" s="270">
        <f>D20/D9</f>
        <v>2.23291184528606</v>
      </c>
      <c r="E19" s="270">
        <f>E20/E9</f>
        <v>2.1487620967741936</v>
      </c>
      <c r="F19" s="119"/>
      <c r="G19" s="119"/>
      <c r="H19" s="119"/>
    </row>
    <row r="20" spans="1:8" ht="12.75">
      <c r="A20" s="44" t="s">
        <v>50</v>
      </c>
      <c r="B20" s="92">
        <f>Expansion!$C$36</f>
        <v>976686</v>
      </c>
      <c r="C20" s="92">
        <f>Expansion!$C$36+C8*Expansion!$C$18</f>
        <v>965079.4027397261</v>
      </c>
      <c r="D20" s="92">
        <f>Expansion!$C$36+D8*Expansion!$C$18+((D7-$B$7)*Expansion!$C$18)</f>
        <v>1065786</v>
      </c>
      <c r="E20" s="92">
        <f>Expansion!$C$36+E8*Expansion!$C$18+((E7-$B$7)*Expansion!$C$18)</f>
        <v>1065786</v>
      </c>
      <c r="F20" s="128"/>
      <c r="G20" s="128"/>
      <c r="H20" s="128"/>
    </row>
    <row r="21" spans="1:8" ht="12.75">
      <c r="A21" s="3"/>
      <c r="B21" s="86"/>
      <c r="C21" s="86"/>
      <c r="D21" s="19"/>
      <c r="E21" s="19"/>
      <c r="F21" s="119"/>
      <c r="G21" s="119"/>
      <c r="H21" s="119"/>
    </row>
    <row r="22" spans="1:8" ht="12.75">
      <c r="A22" s="3" t="s">
        <v>51</v>
      </c>
      <c r="B22" s="87"/>
      <c r="C22" s="87"/>
      <c r="D22" s="4"/>
      <c r="E22" s="4"/>
      <c r="F22" s="160"/>
      <c r="G22" s="160"/>
      <c r="H22" s="160"/>
    </row>
    <row r="23" spans="1:8" ht="12.75">
      <c r="A23" s="81" t="s">
        <v>254</v>
      </c>
      <c r="B23" s="88">
        <f>B9*B12*'Milk Price and Test'!$C$15/100+B9*B13*'Milk Price and Test'!$C$16/100+B9*B14*'Milk Price and Test'!$C$17/100</f>
        <v>322960.14519999997</v>
      </c>
      <c r="C23" s="88">
        <f>C9*C12*'Milk Price and Test'!$C$15/100+C9*C13*'Milk Price and Test'!$C$16/100+C9*C14*'Milk Price and Test'!$C$17/100</f>
        <v>322960.14519999997</v>
      </c>
      <c r="D23" s="88">
        <f>D9*D12*'Milk Price and Test'!$C$15/100+D9*D13*'Milk Price and Test'!$C$16/100+D9*D14*'Milk Price and Test'!$C$17/100</f>
        <v>335393.61461538455</v>
      </c>
      <c r="E23" s="88">
        <f>E9*E12*'Milk Price and Test'!$C$15/100+E9*E13*'Milk Price and Test'!$C$16/100+E9*E14*'Milk Price and Test'!$C$17/100</f>
        <v>339094.36799999996</v>
      </c>
      <c r="F23" s="112"/>
      <c r="G23" s="112"/>
      <c r="H23" s="112"/>
    </row>
    <row r="24" spans="1:9" ht="12.75">
      <c r="A24" s="25" t="s">
        <v>300</v>
      </c>
      <c r="B24" s="88">
        <f>B$10*B12*'Milk Price and Test'!$C$24/100+B$10*B13*'Milk Price and Test'!$C$25/100+B$10*B14*'Milk Price and Test'!$C$26/100</f>
        <v>0</v>
      </c>
      <c r="C24" s="88">
        <f>C$10*C12*'Milk Price and Test'!$C$24/100+C$10*C13*'Milk Price and Test'!$C$25/100+C$10*C14*'Milk Price and Test'!$C$26/100</f>
        <v>0</v>
      </c>
      <c r="D24" s="88">
        <f>D$10*D12*'Milk Price and Test'!$C$24/100+D$10*D13*'Milk Price and Test'!$C$25/100+D$10*D14*'Milk Price and Test'!$C$26/100</f>
        <v>-64.0800000000373</v>
      </c>
      <c r="E24" s="88">
        <f>E$10*E12*'Milk Price and Test'!$C$24/100+E$10*E13*'Milk Price and Test'!$C$25/100+E$10*E14*'Milk Price and Test'!$C$26/100</f>
        <v>0</v>
      </c>
      <c r="F24" s="112"/>
      <c r="G24" s="112"/>
      <c r="H24" s="112"/>
      <c r="I24" s="25"/>
    </row>
    <row r="25" spans="1:9" ht="12.75">
      <c r="A25" s="145" t="s">
        <v>305</v>
      </c>
      <c r="B25" s="88">
        <f>-B110*'Milk Price and Test'!$C$16-B111*'Milk Price and Test'!$C$17</f>
        <v>-8807.608665518766</v>
      </c>
      <c r="C25" s="88">
        <f>-C110*'Milk Price and Test'!$C$16-C111*'Milk Price and Test'!$C$17</f>
        <v>-8807.608665518766</v>
      </c>
      <c r="D25" s="88">
        <f>-D110*'Milk Price and Test'!$C$16-D111*'Milk Price and Test'!$C$17</f>
        <v>0</v>
      </c>
      <c r="E25" s="88">
        <f>-E110*'Milk Price and Test'!$C$16-E111*'Milk Price and Test'!$C$17</f>
        <v>-6977.779348017581</v>
      </c>
      <c r="F25" s="112"/>
      <c r="G25" s="112"/>
      <c r="H25" s="112"/>
      <c r="I25" s="25"/>
    </row>
    <row r="26" spans="1:8" s="25" customFormat="1" ht="12.75">
      <c r="A26" s="25" t="s">
        <v>52</v>
      </c>
      <c r="B26" s="88">
        <f>Report!$D$24</f>
        <v>34100</v>
      </c>
      <c r="C26" s="88">
        <f>Report!$D$24</f>
        <v>34100</v>
      </c>
      <c r="D26" s="88">
        <f>Report!$D$24</f>
        <v>34100</v>
      </c>
      <c r="E26" s="88">
        <f>Report!$D$24</f>
        <v>34100</v>
      </c>
      <c r="F26" s="112"/>
      <c r="G26" s="112"/>
      <c r="H26" s="112"/>
    </row>
    <row r="27" spans="1:8" ht="12.75">
      <c r="A27" t="s">
        <v>53</v>
      </c>
      <c r="B27" s="88">
        <f>Report!$D$25</f>
        <v>14400</v>
      </c>
      <c r="C27" s="88">
        <f>Report!$D$25</f>
        <v>14400</v>
      </c>
      <c r="D27" s="88">
        <f>Report!$D$25</f>
        <v>14400</v>
      </c>
      <c r="E27" s="88">
        <f>Report!$D$25</f>
        <v>14400</v>
      </c>
      <c r="F27" s="112"/>
      <c r="G27" s="112"/>
      <c r="H27" s="112"/>
    </row>
    <row r="28" spans="1:8" ht="12.75">
      <c r="A28" t="s">
        <v>54</v>
      </c>
      <c r="B28" s="88">
        <f>Report!$D$26</f>
        <v>6000</v>
      </c>
      <c r="C28" s="88">
        <f>Report!$D$26</f>
        <v>6000</v>
      </c>
      <c r="D28" s="88">
        <f>Report!$D$26</f>
        <v>6000</v>
      </c>
      <c r="E28" s="88">
        <f>Report!$D$26</f>
        <v>6000</v>
      </c>
      <c r="F28" s="112"/>
      <c r="G28" s="112"/>
      <c r="H28" s="112"/>
    </row>
    <row r="29" spans="1:8" ht="13.5" thickBot="1">
      <c r="A29" s="17" t="s">
        <v>55</v>
      </c>
      <c r="B29" s="271">
        <f>SUM(B23:B28)</f>
        <v>368652.5365344812</v>
      </c>
      <c r="C29" s="271">
        <f>SUM(C23:C28)</f>
        <v>368652.5365344812</v>
      </c>
      <c r="D29" s="271">
        <f>SUM(D23:D28)</f>
        <v>389829.53461538453</v>
      </c>
      <c r="E29" s="271">
        <f>SUM(E23:E28)</f>
        <v>386616.58865198237</v>
      </c>
      <c r="F29" s="161"/>
      <c r="G29" s="161"/>
      <c r="H29" s="161"/>
    </row>
    <row r="30" spans="2:8" ht="13.5" thickTop="1">
      <c r="B30" s="90"/>
      <c r="C30" s="90"/>
      <c r="F30" s="158"/>
      <c r="G30" s="158"/>
      <c r="H30" s="158"/>
    </row>
    <row r="31" spans="1:8" ht="12.75">
      <c r="A31" s="3" t="s">
        <v>56</v>
      </c>
      <c r="B31" s="90"/>
      <c r="C31" s="90"/>
      <c r="F31" s="158"/>
      <c r="G31" s="158"/>
      <c r="H31" s="158"/>
    </row>
    <row r="32" spans="1:8" ht="12.75">
      <c r="A32" t="s">
        <v>108</v>
      </c>
      <c r="B32" s="88">
        <f>Report!$D$30</f>
        <v>8520</v>
      </c>
      <c r="C32" s="88">
        <f>Report!$D$30</f>
        <v>8520</v>
      </c>
      <c r="D32" s="36">
        <f>Report!$D$30</f>
        <v>8520</v>
      </c>
      <c r="E32" s="36">
        <f>Report!$D$30</f>
        <v>8520</v>
      </c>
      <c r="F32" s="112"/>
      <c r="G32" s="112"/>
      <c r="H32" s="112"/>
    </row>
    <row r="33" spans="1:8" ht="12.75">
      <c r="A33" t="s">
        <v>58</v>
      </c>
      <c r="B33" s="88">
        <f>Report!$D$31</f>
        <v>50520</v>
      </c>
      <c r="C33" s="88">
        <f>Report!$D$31</f>
        <v>50520</v>
      </c>
      <c r="D33" s="36">
        <f>Report!$D$31</f>
        <v>50520</v>
      </c>
      <c r="E33" s="36">
        <f>Report!$D$31</f>
        <v>50520</v>
      </c>
      <c r="F33" s="112"/>
      <c r="G33" s="112"/>
      <c r="H33" s="112"/>
    </row>
    <row r="34" spans="1:8" ht="12.75">
      <c r="A34" t="s">
        <v>59</v>
      </c>
      <c r="B34" s="88">
        <f>Report!$D$32</f>
        <v>14595.833333333334</v>
      </c>
      <c r="C34" s="88">
        <f>Report!$D$32</f>
        <v>14595.833333333334</v>
      </c>
      <c r="D34" s="36">
        <f>Report!$D$32</f>
        <v>14595.833333333334</v>
      </c>
      <c r="E34" s="36">
        <f>Report!$D$32</f>
        <v>14595.833333333334</v>
      </c>
      <c r="F34" s="112"/>
      <c r="G34" s="112"/>
      <c r="H34" s="112"/>
    </row>
    <row r="35" spans="1:8" ht="12.75">
      <c r="A35" t="s">
        <v>60</v>
      </c>
      <c r="B35" s="88">
        <f>Report!$D$33</f>
        <v>11495.833333333334</v>
      </c>
      <c r="C35" s="88">
        <f>Report!$D$33</f>
        <v>11495.833333333334</v>
      </c>
      <c r="D35" s="36">
        <f>Report!$D$33</f>
        <v>11495.833333333334</v>
      </c>
      <c r="E35" s="36">
        <f>Report!$D$33</f>
        <v>11495.833333333334</v>
      </c>
      <c r="F35" s="112"/>
      <c r="G35" s="112"/>
      <c r="H35" s="112"/>
    </row>
    <row r="36" spans="1:8" ht="12.75">
      <c r="A36" t="s">
        <v>61</v>
      </c>
      <c r="B36" s="88">
        <f>Report!$D$34</f>
        <v>19234</v>
      </c>
      <c r="C36" s="88">
        <f>Report!$D$34</f>
        <v>19234</v>
      </c>
      <c r="D36" s="36">
        <f>Report!$D$34</f>
        <v>19234</v>
      </c>
      <c r="E36" s="36">
        <f>Report!$D$34</f>
        <v>19234</v>
      </c>
      <c r="F36" s="112"/>
      <c r="G36" s="112"/>
      <c r="H36" s="112"/>
    </row>
    <row r="37" spans="1:8" ht="12.75">
      <c r="A37" t="s">
        <v>62</v>
      </c>
      <c r="B37" s="88">
        <f>(B9/100*'Milk Price and Test'!$D$19+B10/100*'Milk Price and Test'!$D$28)*-1</f>
        <v>19764.359999999997</v>
      </c>
      <c r="C37" s="88">
        <f>(C9/100*'Milk Price and Test'!$D$19+C10/100*'Milk Price and Test'!$D$28)*-1</f>
        <v>19764.359999999997</v>
      </c>
      <c r="D37" s="88">
        <f>(D9/100*'Milk Price and Test'!$D$19+D10/100*'Milk Price and Test'!$D$28)*-1</f>
        <v>19764.359999999997</v>
      </c>
      <c r="E37" s="88">
        <f>(E9/100*'Milk Price and Test'!$D$19+E10/100*'Milk Price and Test'!$D$28)*-1</f>
        <v>20534.399999999998</v>
      </c>
      <c r="F37" s="112"/>
      <c r="G37" s="112"/>
      <c r="H37" s="112"/>
    </row>
    <row r="38" spans="1:8" ht="12.75">
      <c r="A38" t="s">
        <v>63</v>
      </c>
      <c r="B38" s="88">
        <f>Report!$D$36</f>
        <v>13200</v>
      </c>
      <c r="C38" s="88">
        <f>Report!$D$36</f>
        <v>13200</v>
      </c>
      <c r="D38" s="36">
        <f>Report!$D$36</f>
        <v>13200</v>
      </c>
      <c r="E38" s="36">
        <f>Report!$D$36</f>
        <v>13200</v>
      </c>
      <c r="F38" s="112"/>
      <c r="G38" s="112"/>
      <c r="H38" s="112"/>
    </row>
    <row r="39" spans="1:8" ht="12.75">
      <c r="A39" t="s">
        <v>64</v>
      </c>
      <c r="B39" s="88">
        <f>Report!$D$37</f>
        <v>29700</v>
      </c>
      <c r="C39" s="88">
        <f>Report!$D$37</f>
        <v>29700</v>
      </c>
      <c r="D39" s="36">
        <f>Report!$D$37</f>
        <v>29700</v>
      </c>
      <c r="E39" s="36">
        <f>Report!$D$37</f>
        <v>29700</v>
      </c>
      <c r="F39" s="112"/>
      <c r="G39" s="112"/>
      <c r="H39" s="112"/>
    </row>
    <row r="40" spans="1:8" ht="12.75">
      <c r="A40" t="s">
        <v>65</v>
      </c>
      <c r="B40" s="88">
        <f>Report!$D$38</f>
        <v>12903.75</v>
      </c>
      <c r="C40" s="88">
        <f>Report!$D$38</f>
        <v>12903.75</v>
      </c>
      <c r="D40" s="36">
        <f>Report!$D$38</f>
        <v>12903.75</v>
      </c>
      <c r="E40" s="36">
        <f>Report!$D$38</f>
        <v>12903.75</v>
      </c>
      <c r="F40" s="112"/>
      <c r="G40" s="112"/>
      <c r="H40" s="112"/>
    </row>
    <row r="41" spans="1:8" ht="12.75">
      <c r="A41" t="s">
        <v>288</v>
      </c>
      <c r="B41" s="88">
        <f>Report!$D$39</f>
        <v>12650</v>
      </c>
      <c r="C41" s="88">
        <f>Report!$D$39</f>
        <v>12650</v>
      </c>
      <c r="D41" s="88">
        <f>Report!$D$39</f>
        <v>12650</v>
      </c>
      <c r="E41" s="88">
        <f>Report!$D$39</f>
        <v>12650</v>
      </c>
      <c r="F41" s="112"/>
      <c r="G41" s="112"/>
      <c r="H41" s="112"/>
    </row>
    <row r="42" spans="1:8" ht="12.75">
      <c r="A42" t="s">
        <v>66</v>
      </c>
      <c r="B42" s="88">
        <f>Report!$D$40</f>
        <v>7100</v>
      </c>
      <c r="C42" s="88">
        <f>Report!$D$40</f>
        <v>7100</v>
      </c>
      <c r="D42" s="36">
        <f>Report!$D$40</f>
        <v>7100</v>
      </c>
      <c r="E42" s="36">
        <f>Report!$D$40</f>
        <v>7100</v>
      </c>
      <c r="F42" s="112"/>
      <c r="G42" s="112"/>
      <c r="H42" s="112"/>
    </row>
    <row r="43" spans="1:8" ht="12.75">
      <c r="A43" t="s">
        <v>67</v>
      </c>
      <c r="B43" s="88">
        <f>Report!$D$41</f>
        <v>7130</v>
      </c>
      <c r="C43" s="88">
        <f>Report!$D$41</f>
        <v>7130</v>
      </c>
      <c r="D43" s="36">
        <f>Report!$D$41</f>
        <v>7130</v>
      </c>
      <c r="E43" s="36">
        <f>Report!$D$41</f>
        <v>7130</v>
      </c>
      <c r="F43" s="112"/>
      <c r="G43" s="112"/>
      <c r="H43" s="112"/>
    </row>
    <row r="44" spans="1:8" ht="12.75">
      <c r="A44" t="s">
        <v>68</v>
      </c>
      <c r="B44" s="88">
        <f>Expansion!$C$29</f>
        <v>1320</v>
      </c>
      <c r="C44" s="88">
        <f>Expansion!$C$29</f>
        <v>1320</v>
      </c>
      <c r="D44" s="88">
        <f>Expansion!$C$29</f>
        <v>1320</v>
      </c>
      <c r="E44" s="88">
        <f>Expansion!$C$29</f>
        <v>1320</v>
      </c>
      <c r="F44" s="112"/>
      <c r="G44" s="112"/>
      <c r="H44" s="112"/>
    </row>
    <row r="45" spans="1:8" ht="12.75">
      <c r="A45" t="s">
        <v>289</v>
      </c>
      <c r="B45" s="88">
        <f>Report!$D$43</f>
        <v>3300</v>
      </c>
      <c r="C45" s="88">
        <f>Report!$D$43</f>
        <v>3300</v>
      </c>
      <c r="D45" s="88">
        <f>Report!$D$43</f>
        <v>3300</v>
      </c>
      <c r="E45" s="88">
        <f>Report!$D$43</f>
        <v>3300</v>
      </c>
      <c r="F45" s="112"/>
      <c r="G45" s="112"/>
      <c r="H45" s="112"/>
    </row>
    <row r="46" spans="1:8" ht="12.75">
      <c r="A46" t="s">
        <v>69</v>
      </c>
      <c r="B46" s="88">
        <f>Report!$D$44</f>
        <v>8473.333333333334</v>
      </c>
      <c r="C46" s="88">
        <f>Report!$D$44</f>
        <v>8473.333333333334</v>
      </c>
      <c r="D46" s="36">
        <f>Report!$D$44</f>
        <v>8473.333333333334</v>
      </c>
      <c r="E46" s="36">
        <f>Report!$D$44</f>
        <v>8473.333333333334</v>
      </c>
      <c r="F46" s="112"/>
      <c r="G46" s="112"/>
      <c r="H46" s="112"/>
    </row>
    <row r="47" spans="1:8" ht="12.75">
      <c r="A47" t="s">
        <v>70</v>
      </c>
      <c r="B47" s="88">
        <f>Report!$D$45</f>
        <v>8910</v>
      </c>
      <c r="C47" s="88">
        <f>Report!$D$45</f>
        <v>8910</v>
      </c>
      <c r="D47" s="36">
        <f>Report!$D$45</f>
        <v>8910</v>
      </c>
      <c r="E47" s="36">
        <f>Report!$D$45</f>
        <v>8910</v>
      </c>
      <c r="F47" s="112"/>
      <c r="G47" s="112"/>
      <c r="H47" s="112"/>
    </row>
    <row r="48" spans="1:8" ht="12.75">
      <c r="A48" t="s">
        <v>71</v>
      </c>
      <c r="B48" s="88">
        <f>Report!$D$46</f>
        <v>3420</v>
      </c>
      <c r="C48" s="88">
        <f>Report!$D$46</f>
        <v>3420</v>
      </c>
      <c r="D48" s="36">
        <f>Report!$D$46</f>
        <v>3420</v>
      </c>
      <c r="E48" s="36">
        <f>Report!$D$46</f>
        <v>3420</v>
      </c>
      <c r="F48" s="112"/>
      <c r="G48" s="112"/>
      <c r="H48" s="112"/>
    </row>
    <row r="49" spans="1:8" ht="12.75">
      <c r="A49" t="s">
        <v>112</v>
      </c>
      <c r="B49" s="88">
        <f>Loan!$C$48+Loan!$C$35</f>
        <v>60109.10126232687</v>
      </c>
      <c r="C49" s="88">
        <f>Loan!$C$48+Loan!$C$35+Loan!G9</f>
        <v>59436.47130931766</v>
      </c>
      <c r="D49" s="88">
        <f>Loan!$C$48+Loan!$C$35+Loan!K9</f>
        <v>60109.10126232687</v>
      </c>
      <c r="E49" s="88">
        <f>Loan!$C$48+Loan!$C$35+Loan!I9</f>
        <v>65272.658459081555</v>
      </c>
      <c r="F49" s="112"/>
      <c r="G49" s="112"/>
      <c r="H49" s="112"/>
    </row>
    <row r="50" spans="1:8" ht="12.75">
      <c r="A50" s="3" t="s">
        <v>72</v>
      </c>
      <c r="B50" s="89">
        <f>SUM(B32:B49)</f>
        <v>292346.21126232686</v>
      </c>
      <c r="C50" s="89">
        <f>SUM(C32:C49)</f>
        <v>291673.58130931767</v>
      </c>
      <c r="D50" s="89">
        <f>SUM(D32:D49)</f>
        <v>292346.21126232686</v>
      </c>
      <c r="E50" s="89">
        <f>SUM(E32:E49)</f>
        <v>298279.80845908157</v>
      </c>
      <c r="F50" s="162"/>
      <c r="G50" s="162"/>
      <c r="H50" s="162"/>
    </row>
    <row r="51" spans="1:8" ht="13.5" thickBot="1">
      <c r="A51" s="17" t="s">
        <v>131</v>
      </c>
      <c r="B51" s="271">
        <f>B29-B50</f>
        <v>76306.32527215435</v>
      </c>
      <c r="C51" s="271">
        <f>C29-C50</f>
        <v>76978.95522516355</v>
      </c>
      <c r="D51" s="271">
        <f>D29-D50</f>
        <v>97483.32335305767</v>
      </c>
      <c r="E51" s="271">
        <f>E29-E50</f>
        <v>88336.7801929008</v>
      </c>
      <c r="F51" s="161"/>
      <c r="G51" s="161"/>
      <c r="H51" s="161"/>
    </row>
    <row r="52" spans="2:8" ht="13.5" thickTop="1">
      <c r="B52" s="90"/>
      <c r="C52" s="90"/>
      <c r="F52" s="158"/>
      <c r="G52" s="158"/>
      <c r="H52" s="158"/>
    </row>
    <row r="53" spans="1:8" ht="13.5" thickBot="1">
      <c r="A53" s="53" t="s">
        <v>130</v>
      </c>
      <c r="B53" s="273">
        <f>Loan!$C$39-Loan!$C$48-Loan!$C$35-Expansion!$C$29</f>
        <v>52278.59707734277</v>
      </c>
      <c r="C53" s="273">
        <f>Loan!$C$39-Loan!$C$48-Loan!$C$35-Expansion!$C$29+Loan!G10-Loan!G9</f>
        <v>51404.94272594776</v>
      </c>
      <c r="D53" s="273">
        <f>Loan!$C$39-Loan!$C$48-Loan!$C$35-Expansion!$C$29+Loan!K10-Loan!K9</f>
        <v>52278.59707734277</v>
      </c>
      <c r="E53" s="272">
        <f>Loan!$C$39-Loan!$C$48-Loan!$C$35-Expansion!$C$29+Loan!I10-Loan!I9</f>
        <v>58985.35194818925</v>
      </c>
      <c r="F53" s="163"/>
      <c r="G53" s="163"/>
      <c r="H53" s="163"/>
    </row>
    <row r="54" spans="2:8" ht="12.75">
      <c r="B54" s="90"/>
      <c r="C54" s="90"/>
      <c r="F54" s="158"/>
      <c r="G54" s="158"/>
      <c r="H54" s="158"/>
    </row>
    <row r="55" spans="1:8" ht="13.5" thickBot="1">
      <c r="A55" s="17" t="s">
        <v>73</v>
      </c>
      <c r="B55" s="271">
        <f>B51-B53</f>
        <v>24027.728194811585</v>
      </c>
      <c r="C55" s="271">
        <f>C51-C53</f>
        <v>25574.012499215787</v>
      </c>
      <c r="D55" s="271">
        <f>D51-D53</f>
        <v>45204.7262757149</v>
      </c>
      <c r="E55" s="271">
        <f>E51-E53</f>
        <v>29351.428244711547</v>
      </c>
      <c r="F55" s="161"/>
      <c r="G55" s="161"/>
      <c r="H55" s="161"/>
    </row>
    <row r="56" spans="1:8" ht="13.5" thickTop="1">
      <c r="A56" s="22"/>
      <c r="B56" s="90"/>
      <c r="C56" s="90"/>
      <c r="F56" s="158"/>
      <c r="G56" s="158"/>
      <c r="H56" s="158"/>
    </row>
    <row r="57" spans="1:8" ht="25.5">
      <c r="A57" s="97" t="s">
        <v>267</v>
      </c>
      <c r="B57" s="274">
        <f>Loan!$C$39/B9</f>
        <v>0.238181186300104</v>
      </c>
      <c r="C57" s="274">
        <f>(C53+C49+C44)/C9</f>
        <v>0.2349422162447956</v>
      </c>
      <c r="D57" s="274">
        <f>(D53+D49+D44)/D9</f>
        <v>0.23822724873742232</v>
      </c>
      <c r="E57" s="274">
        <f>(E53+E49+E44)/E9</f>
        <v>0.25318147259530405</v>
      </c>
      <c r="F57" s="164"/>
      <c r="G57" s="164"/>
      <c r="H57" s="164"/>
    </row>
    <row r="59" spans="1:7" ht="12.75">
      <c r="A59" s="28"/>
      <c r="B59" s="29"/>
      <c r="C59" s="6"/>
      <c r="D59" s="6"/>
      <c r="E59" s="6"/>
      <c r="F59" s="15"/>
      <c r="G59" s="15"/>
    </row>
    <row r="60" spans="2:3" ht="12.75">
      <c r="B60" s="81" t="s">
        <v>334</v>
      </c>
      <c r="C60" s="81"/>
    </row>
    <row r="61" spans="1:7" ht="12.75">
      <c r="A61" s="81"/>
      <c r="C61" s="84"/>
      <c r="D61" s="84"/>
      <c r="E61" s="124"/>
      <c r="F61" s="15"/>
      <c r="G61" s="15"/>
    </row>
    <row r="62" spans="2:5" ht="12.75">
      <c r="B62" s="217" t="s">
        <v>335</v>
      </c>
      <c r="C62" s="216">
        <f>Loan!G3</f>
        <v>-11606.597260273882</v>
      </c>
      <c r="D62" s="216">
        <f>Loan!H3</f>
        <v>89100</v>
      </c>
      <c r="E62" s="216">
        <f>Loan!I3</f>
        <v>89100</v>
      </c>
    </row>
    <row r="63" spans="2:5" ht="12.75">
      <c r="B63" s="81" t="s">
        <v>336</v>
      </c>
      <c r="C63" s="216">
        <f>Loan!G9</f>
        <v>-672.6299530092077</v>
      </c>
      <c r="D63" s="216">
        <f>Loan!H9</f>
        <v>5163.557196754683</v>
      </c>
      <c r="E63" s="216">
        <f>Loan!I9</f>
        <v>5163.557196754683</v>
      </c>
    </row>
    <row r="64" spans="2:5" ht="12.75">
      <c r="B64" s="81" t="s">
        <v>337</v>
      </c>
      <c r="C64" s="216">
        <f>Loan!G10</f>
        <v>-1546.284304404217</v>
      </c>
      <c r="D64" s="216">
        <f>Loan!H10</f>
        <v>11870.312067601168</v>
      </c>
      <c r="E64" s="216">
        <f>Loan!I10</f>
        <v>11870.312067601168</v>
      </c>
    </row>
    <row r="66" spans="3:5" ht="12.75">
      <c r="C66" s="216"/>
      <c r="D66" s="216"/>
      <c r="E66" s="216"/>
    </row>
    <row r="69" spans="9:10" ht="12.75">
      <c r="I69" s="94"/>
      <c r="J69" s="14"/>
    </row>
    <row r="70" spans="9:10" ht="12.75">
      <c r="I70" s="95"/>
      <c r="J70" s="14"/>
    </row>
    <row r="71" spans="9:10" ht="12.75">
      <c r="I71" s="95"/>
      <c r="J71" s="14"/>
    </row>
    <row r="72" spans="9:10" ht="12.75">
      <c r="I72" s="95"/>
      <c r="J72" s="14"/>
    </row>
    <row r="73" spans="9:10" ht="12.75">
      <c r="I73" s="95"/>
      <c r="J73" s="14"/>
    </row>
    <row r="74" spans="9:10" ht="12.75">
      <c r="I74" s="15"/>
      <c r="J74" s="14"/>
    </row>
    <row r="75" spans="9:10" ht="12.75">
      <c r="I75" s="15"/>
      <c r="J75" s="14"/>
    </row>
    <row r="76" spans="9:10" ht="12.75">
      <c r="I76" s="26"/>
      <c r="J76" s="14"/>
    </row>
    <row r="77" spans="9:10" ht="12.75">
      <c r="I77" s="14"/>
      <c r="J77" s="14"/>
    </row>
    <row r="78" spans="9:10" ht="12.75">
      <c r="I78" s="14"/>
      <c r="J78" s="14"/>
    </row>
    <row r="79" spans="9:10" ht="12.75">
      <c r="I79" s="14"/>
      <c r="J79" s="14"/>
    </row>
    <row r="80" spans="9:10" ht="12.75">
      <c r="I80" s="14"/>
      <c r="J80" s="14"/>
    </row>
    <row r="81" spans="9:10" ht="12.75">
      <c r="I81" s="14"/>
      <c r="J81" s="14"/>
    </row>
    <row r="82" spans="9:10" ht="12.75">
      <c r="I82" s="14"/>
      <c r="J82" s="14"/>
    </row>
    <row r="83" spans="9:10" ht="12.75">
      <c r="I83" s="14"/>
      <c r="J83" s="14"/>
    </row>
    <row r="105" spans="1:8" ht="12.75">
      <c r="A105" s="146" t="s">
        <v>306</v>
      </c>
      <c r="B105" s="179">
        <f>B$9*B$12%</f>
        <v>17377.36</v>
      </c>
      <c r="C105" s="179">
        <f>C$9*C$12%</f>
        <v>17377.36</v>
      </c>
      <c r="D105" s="179">
        <f>D$9*D$12%</f>
        <v>18614.999999999996</v>
      </c>
      <c r="E105" s="179">
        <f>E$9*E$12%</f>
        <v>18352.000000000004</v>
      </c>
      <c r="F105" s="179"/>
      <c r="G105" s="179"/>
      <c r="H105" s="180"/>
    </row>
    <row r="106" spans="1:8" ht="12.75">
      <c r="A106" s="148" t="s">
        <v>307</v>
      </c>
      <c r="B106" s="85">
        <f>B$105*'Milk Price and Test'!$D$33</f>
        <v>40836.796</v>
      </c>
      <c r="C106" s="85">
        <f>C$105*'Milk Price and Test'!$D$33</f>
        <v>40836.796</v>
      </c>
      <c r="D106" s="85">
        <f>D$105*'Milk Price and Test'!$D$33</f>
        <v>43745.24999999999</v>
      </c>
      <c r="E106" s="85">
        <f>E$105*'Milk Price and Test'!$D$33</f>
        <v>43127.20000000001</v>
      </c>
      <c r="F106" s="85"/>
      <c r="G106" s="85"/>
      <c r="H106" s="181"/>
    </row>
    <row r="107" spans="1:8" ht="12.75">
      <c r="A107" s="150" t="s">
        <v>308</v>
      </c>
      <c r="B107" s="85">
        <f>B$9*B$13%+B$14%*B$9</f>
        <v>43252.44</v>
      </c>
      <c r="C107" s="85">
        <f>C$9*C$13%+C$14%*C$9</f>
        <v>43252.44</v>
      </c>
      <c r="D107" s="85">
        <f>D$9*D$13%+D$14%*D$9</f>
        <v>43339.538461538454</v>
      </c>
      <c r="E107" s="85">
        <f>E$9*E$13%+E$14%*E$9</f>
        <v>45036.8</v>
      </c>
      <c r="F107" s="85"/>
      <c r="G107" s="85"/>
      <c r="H107" s="85"/>
    </row>
    <row r="108" spans="1:8" ht="12.75">
      <c r="A108" s="150" t="s">
        <v>309</v>
      </c>
      <c r="B108" s="85">
        <f>B$9*B$13%</f>
        <v>15945.16</v>
      </c>
      <c r="C108" s="85">
        <f>C$9*C$13%</f>
        <v>15945.16</v>
      </c>
      <c r="D108" s="85">
        <f>D$9*D$13%</f>
        <v>16037.53846153846</v>
      </c>
      <c r="E108" s="85">
        <f>E$9*E$13%</f>
        <v>16665.6</v>
      </c>
      <c r="F108" s="85"/>
      <c r="G108" s="85"/>
      <c r="H108" s="85"/>
    </row>
    <row r="109" spans="1:8" ht="12.75">
      <c r="A109" s="150" t="s">
        <v>310</v>
      </c>
      <c r="B109" s="85">
        <f>B$9*B$14%</f>
        <v>27307.28</v>
      </c>
      <c r="C109" s="85">
        <f>C$9*C$14%</f>
        <v>27307.28</v>
      </c>
      <c r="D109" s="85">
        <f>D$9*D$14%</f>
        <v>27301.999999999996</v>
      </c>
      <c r="E109" s="85">
        <f>E$9*E$14%</f>
        <v>28371.2</v>
      </c>
      <c r="F109" s="85"/>
      <c r="G109" s="85"/>
      <c r="H109" s="85"/>
    </row>
    <row r="110" spans="1:8" ht="12.75">
      <c r="A110" s="150" t="s">
        <v>311</v>
      </c>
      <c r="B110" s="85">
        <f>IF(B15&gt;'Milk Price and Test'!$D$33,B108-B$106*B108/(B$108+B$109),0)</f>
        <v>890.5354260485656</v>
      </c>
      <c r="C110" s="85">
        <f>IF(C15&gt;'Milk Price and Test'!$D$33,C108-C$106*C108/(C$108+C$109),0)</f>
        <v>890.5354260485656</v>
      </c>
      <c r="D110" s="85">
        <f>IF(D15&gt;'Milk Price and Test'!$D$33,D108-D$106*D108/(D$108+D$109),0)</f>
        <v>0</v>
      </c>
      <c r="E110" s="85">
        <f>IF(E15&gt;'Milk Price and Test'!$D$33,E108-E$106*E108/(E$108+E$109),0)</f>
        <v>706.6361233480129</v>
      </c>
      <c r="F110" s="85"/>
      <c r="G110" s="85"/>
      <c r="H110" s="100"/>
    </row>
    <row r="111" spans="1:8" ht="12.75">
      <c r="A111" s="150" t="s">
        <v>312</v>
      </c>
      <c r="B111" s="85">
        <f>IF(B15&gt;'Milk Price and Test'!$D$33,B109-B$106*B109/(B$108+B$109),0)</f>
        <v>1525.1085739514347</v>
      </c>
      <c r="C111" s="85">
        <f>IF(C15&gt;'Milk Price and Test'!$D$33,C109-C$106*C109/(C$108+C$109),0)</f>
        <v>1525.1085739514347</v>
      </c>
      <c r="D111" s="85">
        <f>IF(D15&gt;'Milk Price and Test'!$D$33,D109-D$106*D109/(D$108+D$109),0)</f>
        <v>0</v>
      </c>
      <c r="E111" s="85">
        <f>IF(E15&gt;'Milk Price and Test'!$D$33,E109-E$106*E109/(E$108+E$109),0)</f>
        <v>1202.9638766519784</v>
      </c>
      <c r="F111" s="85"/>
      <c r="G111" s="85"/>
      <c r="H111" s="100"/>
    </row>
    <row r="112" spans="6:8" ht="12.75">
      <c r="F112"/>
      <c r="G112"/>
      <c r="H112"/>
    </row>
  </sheetData>
  <sheetProtection/>
  <printOptions horizontalCentered="1"/>
  <pageMargins left="0.5" right="0.5" top="0.484251969" bottom="0.484251969" header="0.261811024" footer="0.261811024"/>
  <pageSetup fitToHeight="1" fitToWidth="1" horizontalDpi="600" verticalDpi="600" orientation="landscape" scale="6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28125" style="0" customWidth="1"/>
    <col min="2" max="2" width="17.00390625" style="0" customWidth="1"/>
    <col min="3" max="3" width="9.7109375" style="0" customWidth="1"/>
    <col min="4" max="4" width="11.28125" style="0" customWidth="1"/>
    <col min="5" max="5" width="13.00390625" style="0" customWidth="1"/>
    <col min="6" max="6" width="5.8515625" style="0" customWidth="1"/>
    <col min="7" max="7" width="11.28125" style="0" customWidth="1"/>
    <col min="8" max="8" width="12.00390625" style="0" customWidth="1"/>
  </cols>
  <sheetData>
    <row r="1" spans="1:8" ht="45" customHeight="1">
      <c r="A1" s="277" t="s">
        <v>129</v>
      </c>
      <c r="B1" s="230"/>
      <c r="C1" s="230"/>
      <c r="D1" s="230"/>
      <c r="E1" s="230"/>
      <c r="F1" s="230"/>
      <c r="G1" s="230"/>
      <c r="H1" s="231"/>
    </row>
    <row r="2" spans="1:8" ht="12.75">
      <c r="A2" s="34">
        <f ca="1">NOW()</f>
        <v>43008.71851064815</v>
      </c>
      <c r="B2" s="34"/>
      <c r="C2" s="34"/>
      <c r="D2" s="34"/>
      <c r="E2" s="34"/>
      <c r="F2" s="34"/>
      <c r="G2" s="34"/>
      <c r="H2" s="34"/>
    </row>
    <row r="3" spans="1:8" ht="12.75">
      <c r="A3" s="24"/>
      <c r="B3" s="24"/>
      <c r="C3" s="24"/>
      <c r="D3" s="24"/>
      <c r="E3" s="24"/>
      <c r="F3" s="24"/>
      <c r="G3" s="24"/>
      <c r="H3" s="24"/>
    </row>
    <row r="4" spans="1:8" ht="12.75">
      <c r="A4" s="57"/>
      <c r="B4" s="57"/>
      <c r="C4" s="58"/>
      <c r="D4" s="34"/>
      <c r="E4" s="34"/>
      <c r="F4" s="34"/>
      <c r="G4" s="34"/>
      <c r="H4" s="34"/>
    </row>
    <row r="5" spans="1:8" ht="18">
      <c r="A5" s="57"/>
      <c r="B5" s="31" t="s">
        <v>119</v>
      </c>
      <c r="C5" s="239"/>
      <c r="D5" s="240" t="s">
        <v>1</v>
      </c>
      <c r="E5" s="241"/>
      <c r="F5" s="239"/>
      <c r="G5" s="240" t="s">
        <v>2</v>
      </c>
      <c r="H5" s="241"/>
    </row>
    <row r="6" spans="1:8" ht="12.75">
      <c r="A6" s="31" t="s">
        <v>32</v>
      </c>
      <c r="B6" s="59" t="s">
        <v>120</v>
      </c>
      <c r="C6" s="49" t="s">
        <v>33</v>
      </c>
      <c r="D6" s="49" t="s">
        <v>117</v>
      </c>
      <c r="E6" s="49" t="s">
        <v>118</v>
      </c>
      <c r="F6" s="49" t="s">
        <v>33</v>
      </c>
      <c r="G6" s="49" t="s">
        <v>117</v>
      </c>
      <c r="H6" s="49" t="s">
        <v>118</v>
      </c>
    </row>
    <row r="7" spans="1:8" ht="12.75">
      <c r="A7" s="30" t="s">
        <v>34</v>
      </c>
      <c r="B7" s="60" t="s">
        <v>121</v>
      </c>
      <c r="C7" s="50">
        <v>30</v>
      </c>
      <c r="D7" s="50">
        <v>465</v>
      </c>
      <c r="E7" s="50"/>
      <c r="F7" s="50">
        <v>35</v>
      </c>
      <c r="G7" s="69">
        <v>545</v>
      </c>
      <c r="H7" s="56"/>
    </row>
    <row r="8" spans="1:8" ht="12.75">
      <c r="A8" s="30" t="s">
        <v>35</v>
      </c>
      <c r="B8" s="61" t="s">
        <v>122</v>
      </c>
      <c r="C8" s="50">
        <v>18</v>
      </c>
      <c r="D8" s="50">
        <v>55</v>
      </c>
      <c r="E8" s="50"/>
      <c r="F8" s="50">
        <v>25</v>
      </c>
      <c r="G8" s="69">
        <v>75</v>
      </c>
      <c r="H8" s="56"/>
    </row>
    <row r="9" spans="1:8" ht="12.75">
      <c r="A9" s="30" t="s">
        <v>36</v>
      </c>
      <c r="B9" s="61" t="s">
        <v>123</v>
      </c>
      <c r="C9" s="50">
        <v>60</v>
      </c>
      <c r="D9" s="50">
        <v>360</v>
      </c>
      <c r="E9" s="50"/>
      <c r="F9" s="50">
        <v>65</v>
      </c>
      <c r="G9" s="69">
        <v>390</v>
      </c>
      <c r="H9" s="56"/>
    </row>
    <row r="10" spans="1:8" ht="12.75">
      <c r="A10" s="30" t="s">
        <v>116</v>
      </c>
      <c r="B10" s="61" t="s">
        <v>124</v>
      </c>
      <c r="C10" s="50">
        <v>35</v>
      </c>
      <c r="D10" s="75" t="s">
        <v>172</v>
      </c>
      <c r="E10" s="50"/>
      <c r="F10" s="50">
        <v>35</v>
      </c>
      <c r="G10" s="109" t="s">
        <v>172</v>
      </c>
      <c r="H10" s="56"/>
    </row>
    <row r="11" spans="1:8" ht="12.75">
      <c r="A11" s="30" t="s">
        <v>125</v>
      </c>
      <c r="B11" s="61" t="s">
        <v>122</v>
      </c>
      <c r="C11" s="50">
        <v>66</v>
      </c>
      <c r="D11" s="50">
        <v>178</v>
      </c>
      <c r="E11" s="50"/>
      <c r="F11" s="50">
        <v>49</v>
      </c>
      <c r="G11" s="69">
        <v>217</v>
      </c>
      <c r="H11" s="56"/>
    </row>
    <row r="12" spans="1:8" ht="12.75">
      <c r="A12" s="30" t="s">
        <v>126</v>
      </c>
      <c r="B12" s="61"/>
      <c r="C12" s="50"/>
      <c r="D12" s="50"/>
      <c r="E12" s="50"/>
      <c r="F12" s="56"/>
      <c r="G12" s="56"/>
      <c r="H12" s="56"/>
    </row>
    <row r="13" spans="1:8" ht="12.75">
      <c r="A13" s="30" t="s">
        <v>111</v>
      </c>
      <c r="B13" s="30"/>
      <c r="C13" s="50"/>
      <c r="D13" s="50"/>
      <c r="E13" s="50"/>
      <c r="F13" s="56"/>
      <c r="G13" s="56"/>
      <c r="H13" s="56"/>
    </row>
    <row r="14" spans="1:8" ht="12.75">
      <c r="A14" s="30" t="s">
        <v>111</v>
      </c>
      <c r="B14" s="30"/>
      <c r="C14" s="50"/>
      <c r="D14" s="50"/>
      <c r="E14" s="50"/>
      <c r="F14" s="56"/>
      <c r="G14" s="56"/>
      <c r="H14" s="56"/>
    </row>
    <row r="15" spans="1:11" ht="12.75">
      <c r="A15" s="30" t="s">
        <v>110</v>
      </c>
      <c r="B15" s="30"/>
      <c r="C15" s="50"/>
      <c r="D15" s="50"/>
      <c r="E15" s="50"/>
      <c r="F15" s="56"/>
      <c r="G15" s="56"/>
      <c r="H15" s="56"/>
      <c r="J15" s="35"/>
      <c r="K15" s="35"/>
    </row>
    <row r="16" spans="1:8" ht="12.75">
      <c r="A16" s="30" t="s">
        <v>110</v>
      </c>
      <c r="B16" s="30"/>
      <c r="C16" s="50"/>
      <c r="D16" s="50"/>
      <c r="E16" s="50"/>
      <c r="F16" s="56"/>
      <c r="G16" s="56"/>
      <c r="H16" s="56"/>
    </row>
    <row r="17" spans="1:8" ht="12.75">
      <c r="A17" s="30" t="s">
        <v>37</v>
      </c>
      <c r="B17" s="30"/>
      <c r="C17" s="50"/>
      <c r="D17" s="50"/>
      <c r="E17" s="50"/>
      <c r="F17" s="56"/>
      <c r="G17" s="56"/>
      <c r="H17" s="56"/>
    </row>
    <row r="18" spans="1:8" ht="12.75">
      <c r="A18" s="46" t="s">
        <v>127</v>
      </c>
      <c r="B18" s="47"/>
      <c r="C18" s="30">
        <f>SUM(C7:C17)</f>
        <v>209</v>
      </c>
      <c r="D18" s="62"/>
      <c r="E18" s="51"/>
      <c r="F18" s="30">
        <f>SUM(F7:F17)</f>
        <v>209</v>
      </c>
      <c r="G18" s="63"/>
      <c r="H18" s="64"/>
    </row>
    <row r="20" spans="1:8" ht="12.75">
      <c r="A20" s="46" t="s">
        <v>133</v>
      </c>
      <c r="B20" s="47"/>
      <c r="C20" s="67">
        <f>+C18/Report!B5</f>
        <v>4.354166666666667</v>
      </c>
      <c r="D20" s="62"/>
      <c r="E20" s="51"/>
      <c r="F20" s="67">
        <f>+F18/Report!D5</f>
        <v>3.370967741935484</v>
      </c>
      <c r="G20" s="63"/>
      <c r="H20" s="64"/>
    </row>
  </sheetData>
  <sheetProtection/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F6" sqref="F6"/>
    </sheetView>
  </sheetViews>
  <sheetFormatPr defaultColWidth="9.140625" defaultRowHeight="12.75"/>
  <cols>
    <col min="2" max="2" width="45.57421875" style="0" customWidth="1"/>
    <col min="3" max="3" width="13.140625" style="0" bestFit="1" customWidth="1"/>
    <col min="4" max="4" width="11.140625" style="0" customWidth="1"/>
    <col min="5" max="10" width="10.7109375" style="0" customWidth="1"/>
    <col min="13" max="13" width="10.140625" style="0" hidden="1" customWidth="1"/>
    <col min="14" max="14" width="17.00390625" style="0" hidden="1" customWidth="1"/>
    <col min="15" max="15" width="11.7109375" style="0" hidden="1" customWidth="1"/>
  </cols>
  <sheetData>
    <row r="1" spans="1:20" ht="54" customHeight="1" thickBot="1">
      <c r="A1" s="244"/>
      <c r="B1" s="247" t="s">
        <v>339</v>
      </c>
      <c r="C1" s="245"/>
      <c r="D1" s="245"/>
      <c r="E1" s="246"/>
      <c r="F1" s="212"/>
      <c r="G1" s="212"/>
      <c r="H1" s="212"/>
      <c r="I1" s="212"/>
      <c r="J1" s="212"/>
      <c r="K1" s="44"/>
      <c r="L1" s="44"/>
      <c r="M1" s="44"/>
      <c r="N1" s="44"/>
      <c r="O1" s="44"/>
      <c r="P1" s="44"/>
      <c r="Q1" s="44"/>
      <c r="R1" s="44"/>
      <c r="S1" s="44"/>
      <c r="T1" s="44"/>
    </row>
    <row r="3" spans="1:3" ht="12.75">
      <c r="A3" t="s">
        <v>170</v>
      </c>
      <c r="B3" t="s">
        <v>147</v>
      </c>
      <c r="C3" s="36">
        <v>29700</v>
      </c>
    </row>
    <row r="4" ht="12.75">
      <c r="B4" t="s">
        <v>148</v>
      </c>
    </row>
    <row r="6" spans="1:2" ht="12.75">
      <c r="A6" t="s">
        <v>149</v>
      </c>
      <c r="B6" t="s">
        <v>150</v>
      </c>
    </row>
    <row r="7" ht="12.75">
      <c r="A7" s="5"/>
    </row>
    <row r="8" spans="2:3" ht="12.75">
      <c r="B8" t="s">
        <v>171</v>
      </c>
      <c r="C8" s="36">
        <f>Report!B6</f>
        <v>7700</v>
      </c>
    </row>
    <row r="9" spans="3:4" ht="12.75">
      <c r="C9" s="36"/>
      <c r="D9" s="175"/>
    </row>
    <row r="10" spans="3:10" ht="38.25">
      <c r="C10" s="176" t="s">
        <v>319</v>
      </c>
      <c r="D10" s="83" t="s">
        <v>321</v>
      </c>
      <c r="E10" s="83" t="s">
        <v>322</v>
      </c>
      <c r="F10" s="83"/>
      <c r="G10" s="83"/>
      <c r="H10" s="83"/>
      <c r="I10" s="83"/>
      <c r="J10" s="83"/>
    </row>
    <row r="11" spans="2:10" ht="12.75">
      <c r="B11" s="173" t="s">
        <v>316</v>
      </c>
      <c r="C11" s="96">
        <f>'Milk Price and Test'!C10</f>
        <v>3.64</v>
      </c>
      <c r="D11" s="250">
        <f>'Milk Price and Test'!C15</f>
        <v>9.51</v>
      </c>
      <c r="E11" s="250">
        <f>'Milk Price and Test'!C24</f>
        <v>-9.64</v>
      </c>
      <c r="F11" s="141"/>
      <c r="G11" s="141"/>
      <c r="H11" s="141"/>
      <c r="I11" s="141"/>
      <c r="J11" s="141"/>
    </row>
    <row r="12" spans="2:10" ht="12.75">
      <c r="B12" s="174" t="s">
        <v>317</v>
      </c>
      <c r="C12" s="96">
        <f>'Milk Price and Test'!C11</f>
        <v>3.34</v>
      </c>
      <c r="D12" s="250">
        <f>'Milk Price and Test'!C16</f>
        <v>7.27</v>
      </c>
      <c r="E12" s="254">
        <v>-7.02</v>
      </c>
      <c r="F12" s="138"/>
      <c r="G12" s="138"/>
      <c r="H12" s="138"/>
      <c r="I12" s="138"/>
      <c r="J12" s="138"/>
    </row>
    <row r="13" spans="2:10" ht="12.75">
      <c r="B13" s="174" t="s">
        <v>318</v>
      </c>
      <c r="C13" s="96">
        <f>'Milk Price and Test'!C12</f>
        <v>5.72</v>
      </c>
      <c r="D13" s="250">
        <f>'Milk Price and Test'!C17</f>
        <v>1.53</v>
      </c>
      <c r="E13" s="254">
        <v>-1.44</v>
      </c>
      <c r="F13" s="138"/>
      <c r="G13" s="138"/>
      <c r="H13" s="138"/>
      <c r="I13" s="138"/>
      <c r="J13" s="138"/>
    </row>
    <row r="14" spans="2:10" ht="12.75">
      <c r="B14" s="173" t="s">
        <v>320</v>
      </c>
      <c r="C14" s="96"/>
      <c r="D14" s="250">
        <f>deductions</f>
        <v>4.14</v>
      </c>
      <c r="E14" s="250">
        <f>deductions</f>
        <v>4.14</v>
      </c>
      <c r="F14" s="77"/>
      <c r="G14" s="77"/>
      <c r="H14" s="77"/>
      <c r="I14" s="77"/>
      <c r="J14" s="77"/>
    </row>
    <row r="15" spans="2:10" ht="12.75">
      <c r="B15" s="174"/>
      <c r="C15" s="96"/>
      <c r="D15" s="77"/>
      <c r="E15" s="77"/>
      <c r="F15" s="77"/>
      <c r="G15" s="77"/>
      <c r="H15" s="77"/>
      <c r="I15" s="77"/>
      <c r="J15" s="77"/>
    </row>
    <row r="16" spans="2:3" ht="12.75">
      <c r="B16" t="s">
        <v>151</v>
      </c>
      <c r="C16" s="189">
        <v>365</v>
      </c>
    </row>
    <row r="17" spans="2:3" ht="12.75">
      <c r="B17" t="s">
        <v>152</v>
      </c>
      <c r="C17" s="73">
        <f>+C8*C11*0.01/C16</f>
        <v>0.7678904109589042</v>
      </c>
    </row>
    <row r="18" spans="2:3" ht="12.75">
      <c r="B18" t="s">
        <v>153</v>
      </c>
      <c r="C18" s="252">
        <f>+C3*C17</f>
        <v>22806.345205479454</v>
      </c>
    </row>
    <row r="20" spans="1:2" ht="12.75">
      <c r="A20" t="s">
        <v>154</v>
      </c>
      <c r="B20" t="s">
        <v>155</v>
      </c>
    </row>
    <row r="22" spans="2:3" ht="12.75">
      <c r="B22" t="s">
        <v>156</v>
      </c>
      <c r="C22" s="72">
        <f>C11</f>
        <v>3.64</v>
      </c>
    </row>
    <row r="23" spans="2:15" ht="12.75">
      <c r="B23" t="s">
        <v>157</v>
      </c>
      <c r="C23" s="102">
        <f>C12</f>
        <v>3.34</v>
      </c>
      <c r="N23" s="151" t="s">
        <v>306</v>
      </c>
      <c r="O23" s="154">
        <f>C22</f>
        <v>3.64</v>
      </c>
    </row>
    <row r="24" spans="2:15" ht="12.75">
      <c r="B24" t="s">
        <v>274</v>
      </c>
      <c r="C24" s="102">
        <f>C13</f>
        <v>5.72</v>
      </c>
      <c r="N24" s="152" t="s">
        <v>307</v>
      </c>
      <c r="O24" s="100">
        <f>O23*'Milk Price and Test'!$D$33</f>
        <v>8.554</v>
      </c>
    </row>
    <row r="25" spans="2:15" ht="12.75">
      <c r="B25" s="81" t="s">
        <v>313</v>
      </c>
      <c r="C25" s="102">
        <f>(C23+C24)/C22</f>
        <v>2.4890109890109886</v>
      </c>
      <c r="N25" s="153" t="s">
        <v>308</v>
      </c>
      <c r="O25" s="155">
        <f>C23+C24</f>
        <v>9.059999999999999</v>
      </c>
    </row>
    <row r="26" spans="2:15" ht="12.75">
      <c r="B26" t="s">
        <v>158</v>
      </c>
      <c r="C26" s="275">
        <f>((C22*D11+(C23-O28)*D12+(C24-O29)*D13)-deductions)*C8/100</f>
        <v>4748.196395717439</v>
      </c>
      <c r="N26" s="153" t="s">
        <v>309</v>
      </c>
      <c r="O26" s="155">
        <f>C12</f>
        <v>3.34</v>
      </c>
    </row>
    <row r="27" spans="2:15" ht="12.75">
      <c r="B27" t="s">
        <v>159</v>
      </c>
      <c r="C27" s="252">
        <f>+C26/C8</f>
        <v>0.6166488825607064</v>
      </c>
      <c r="N27" s="153" t="s">
        <v>310</v>
      </c>
      <c r="O27" s="155">
        <f>C13</f>
        <v>5.72</v>
      </c>
    </row>
    <row r="28" spans="2:15" ht="12.75">
      <c r="B28" t="s">
        <v>160</v>
      </c>
      <c r="C28" s="252">
        <f>+C27/C22*100</f>
        <v>16.940903367052375</v>
      </c>
      <c r="N28" s="153" t="s">
        <v>311</v>
      </c>
      <c r="O28" s="100">
        <f>IF(C25&gt;'Milk Price and Test'!D33,O26-O24*O26/(O26+O27),0)</f>
        <v>0.18653863134657778</v>
      </c>
    </row>
    <row r="29" spans="14:15" ht="12.75">
      <c r="N29" s="153" t="s">
        <v>312</v>
      </c>
      <c r="O29" s="100">
        <f>IF(C25&gt;'Milk Price and Test'!D33,O27-O24*O27/(O26+O27),0)</f>
        <v>0.3194613686534211</v>
      </c>
    </row>
    <row r="30" spans="1:2" ht="12.75">
      <c r="A30" t="s">
        <v>161</v>
      </c>
      <c r="B30" t="s">
        <v>135</v>
      </c>
    </row>
    <row r="32" spans="2:3" ht="12.75">
      <c r="B32" t="s">
        <v>153</v>
      </c>
      <c r="C32" s="252">
        <f>+C18</f>
        <v>22806.345205479454</v>
      </c>
    </row>
    <row r="33" spans="2:3" ht="12.75">
      <c r="B33" t="s">
        <v>163</v>
      </c>
      <c r="C33" s="74">
        <v>6</v>
      </c>
    </row>
    <row r="34" spans="2:3" ht="12.75">
      <c r="B34" t="s">
        <v>162</v>
      </c>
      <c r="C34" s="36">
        <v>10</v>
      </c>
    </row>
    <row r="35" spans="2:3" ht="12.75">
      <c r="B35" t="s">
        <v>27</v>
      </c>
      <c r="C35" s="36">
        <v>12</v>
      </c>
    </row>
    <row r="36" spans="2:3" ht="12.75">
      <c r="B36" t="s">
        <v>164</v>
      </c>
      <c r="C36" s="36">
        <v>12</v>
      </c>
    </row>
    <row r="37" spans="2:3" ht="12.75">
      <c r="B37" s="81" t="s">
        <v>252</v>
      </c>
      <c r="C37" s="276">
        <f>IF(AND(AND(AND(AND(C34&gt;=1,C35&gt;=1),C36&gt;=1),C32&gt;=0),C33&gt;=0),IF(C33=0,C32/C34/C35,((1+(C33/(C36*100)))^(C36/C35)-1)/(1-((1/(1+((1+(C33/(C36*100)))^(C36/C35)-1))^(C35*C34))))*C32),#VALUE!)*12</f>
        <v>3038.3662706002333</v>
      </c>
    </row>
    <row r="38" spans="2:3" ht="12.75">
      <c r="B38" s="25" t="s">
        <v>169</v>
      </c>
      <c r="C38" s="252">
        <f>+C37/C8</f>
        <v>0.39459302215587444</v>
      </c>
    </row>
    <row r="40" spans="1:2" ht="12.75">
      <c r="A40" t="s">
        <v>165</v>
      </c>
      <c r="B40" t="s">
        <v>166</v>
      </c>
    </row>
    <row r="42" spans="2:3" ht="12.75">
      <c r="B42" t="s">
        <v>167</v>
      </c>
      <c r="C42" s="252">
        <f>+C26-C37</f>
        <v>1709.830125117206</v>
      </c>
    </row>
    <row r="43" spans="2:11" ht="12.75">
      <c r="B43" s="25" t="s">
        <v>168</v>
      </c>
      <c r="C43" s="252">
        <f>+C42/C8</f>
        <v>0.22205586040483197</v>
      </c>
      <c r="K43" s="76"/>
    </row>
    <row r="44" ht="12.75">
      <c r="C44" s="42"/>
    </row>
    <row r="45" spans="1:3" ht="12.75">
      <c r="A45" s="81" t="s">
        <v>294</v>
      </c>
      <c r="B45" s="139" t="s">
        <v>301</v>
      </c>
      <c r="C45" s="275">
        <f>'Milk Price and Test'!D29/100</f>
        <v>-0.709132</v>
      </c>
    </row>
    <row r="50" spans="1:3" ht="12.75" hidden="1">
      <c r="A50" t="s">
        <v>268</v>
      </c>
      <c r="B50" s="81" t="s">
        <v>251</v>
      </c>
      <c r="C50" s="103">
        <f>'Milk Price and Test'!D37/100</f>
        <v>0</v>
      </c>
    </row>
    <row r="51" spans="2:3" ht="12.75" hidden="1">
      <c r="B51" s="81"/>
      <c r="C51" s="103"/>
    </row>
    <row r="52" ht="12.75" hidden="1">
      <c r="L52" s="99"/>
    </row>
    <row r="53" spans="1:4" ht="12.75" hidden="1">
      <c r="A53" s="81" t="s">
        <v>268</v>
      </c>
      <c r="B53" s="81" t="s">
        <v>285</v>
      </c>
      <c r="C53" s="107">
        <v>100</v>
      </c>
      <c r="D53" t="s">
        <v>270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24">
      <selection activeCell="A30" sqref="A30"/>
    </sheetView>
  </sheetViews>
  <sheetFormatPr defaultColWidth="9.140625" defaultRowHeight="12.75"/>
  <cols>
    <col min="1" max="1" width="28.57421875" style="0" customWidth="1"/>
    <col min="2" max="2" width="23.7109375" style="0" customWidth="1"/>
  </cols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7" ht="12.75">
      <c r="A17" t="s">
        <v>87</v>
      </c>
    </row>
    <row r="19" ht="12.75">
      <c r="A19" t="s">
        <v>88</v>
      </c>
    </row>
    <row r="20" ht="12.75">
      <c r="A20" t="s">
        <v>89</v>
      </c>
    </row>
    <row r="21" ht="12.75">
      <c r="A21" t="s">
        <v>90</v>
      </c>
    </row>
    <row r="22" ht="12.75">
      <c r="A22" t="s">
        <v>91</v>
      </c>
    </row>
    <row r="23" ht="12.75">
      <c r="A23" t="s">
        <v>92</v>
      </c>
    </row>
    <row r="24" ht="12.75">
      <c r="A24" t="s">
        <v>93</v>
      </c>
    </row>
    <row r="25" ht="12.75">
      <c r="A25" t="s">
        <v>94</v>
      </c>
    </row>
    <row r="26" ht="12.75">
      <c r="A26" t="s">
        <v>95</v>
      </c>
    </row>
    <row r="28" ht="12.75">
      <c r="A28" t="s">
        <v>96</v>
      </c>
    </row>
    <row r="29" ht="12.75">
      <c r="A29" t="s">
        <v>97</v>
      </c>
    </row>
    <row r="30" ht="12.75">
      <c r="A30" t="s">
        <v>98</v>
      </c>
    </row>
    <row r="36" ht="12.75">
      <c r="A36" t="s">
        <v>99</v>
      </c>
    </row>
    <row r="39" spans="1:3" ht="12.75">
      <c r="A39" t="s">
        <v>38</v>
      </c>
      <c r="B39" t="s">
        <v>100</v>
      </c>
      <c r="C39" t="s">
        <v>101</v>
      </c>
    </row>
    <row r="40" spans="1:3" ht="12.75">
      <c r="A40" t="s">
        <v>40</v>
      </c>
      <c r="B40">
        <v>56</v>
      </c>
      <c r="C40">
        <v>80</v>
      </c>
    </row>
    <row r="41" spans="1:3" ht="12.75">
      <c r="A41" t="s">
        <v>42</v>
      </c>
      <c r="B41">
        <v>46</v>
      </c>
      <c r="C41">
        <v>70</v>
      </c>
    </row>
    <row r="42" spans="1:3" ht="12.75">
      <c r="A42" t="s">
        <v>43</v>
      </c>
      <c r="B42" s="1">
        <v>498955</v>
      </c>
      <c r="C42" s="1">
        <v>712793</v>
      </c>
    </row>
    <row r="43" spans="1:3" ht="12.75">
      <c r="A43" t="s">
        <v>47</v>
      </c>
      <c r="B43">
        <v>4.3</v>
      </c>
      <c r="C43">
        <v>3</v>
      </c>
    </row>
    <row r="44" spans="1:3" ht="12.75">
      <c r="A44" t="s">
        <v>48</v>
      </c>
      <c r="B44" s="2">
        <v>0.9</v>
      </c>
      <c r="C44" s="2">
        <v>0.55</v>
      </c>
    </row>
    <row r="45" spans="1:3" ht="12.75">
      <c r="A45" t="s">
        <v>49</v>
      </c>
      <c r="B45" t="s">
        <v>102</v>
      </c>
      <c r="C45">
        <v>1.54</v>
      </c>
    </row>
    <row r="46" spans="1:3" ht="12.75">
      <c r="A46" t="s">
        <v>50</v>
      </c>
      <c r="B46" s="1">
        <v>214006</v>
      </c>
      <c r="C46" s="1">
        <v>1106646</v>
      </c>
    </row>
    <row r="47" spans="1:3" ht="12.75">
      <c r="A47" t="s">
        <v>55</v>
      </c>
      <c r="B47" s="1">
        <v>301774</v>
      </c>
      <c r="C47" s="1">
        <v>428025</v>
      </c>
    </row>
    <row r="49" ht="12.75">
      <c r="A49" t="s">
        <v>56</v>
      </c>
    </row>
    <row r="50" ht="12.75">
      <c r="A50" t="s">
        <v>57</v>
      </c>
    </row>
    <row r="51" spans="1:3" ht="12.75">
      <c r="A51" t="s">
        <v>58</v>
      </c>
      <c r="B51" s="1">
        <v>49809</v>
      </c>
      <c r="C51" s="1">
        <v>70000</v>
      </c>
    </row>
    <row r="52" spans="1:3" ht="12.75">
      <c r="A52" t="s">
        <v>59</v>
      </c>
      <c r="B52" s="1">
        <v>14499</v>
      </c>
      <c r="C52" s="1">
        <v>18000</v>
      </c>
    </row>
    <row r="53" spans="1:3" ht="12.75">
      <c r="A53" t="s">
        <v>60</v>
      </c>
      <c r="B53" s="1">
        <v>8400</v>
      </c>
      <c r="C53" s="1">
        <v>11000</v>
      </c>
    </row>
    <row r="54" spans="1:3" ht="12.75">
      <c r="A54" t="s">
        <v>61</v>
      </c>
      <c r="B54" s="1">
        <v>13457</v>
      </c>
      <c r="C54" s="1">
        <v>14000</v>
      </c>
    </row>
    <row r="55" spans="1:3" ht="12.75">
      <c r="A55" t="s">
        <v>62</v>
      </c>
      <c r="B55" s="1">
        <v>17376</v>
      </c>
      <c r="C55" s="1">
        <v>24822</v>
      </c>
    </row>
    <row r="56" spans="1:3" ht="12.75">
      <c r="A56" t="s">
        <v>63</v>
      </c>
      <c r="B56" s="1">
        <v>9482</v>
      </c>
      <c r="C56" s="1">
        <v>10000</v>
      </c>
    </row>
    <row r="57" spans="1:3" ht="12.75">
      <c r="A57" t="s">
        <v>64</v>
      </c>
      <c r="B57" s="1">
        <v>21780</v>
      </c>
      <c r="C57" s="1">
        <v>20000</v>
      </c>
    </row>
    <row r="58" spans="1:3" ht="12.75">
      <c r="A58" t="s">
        <v>65</v>
      </c>
      <c r="B58" s="1">
        <v>7300</v>
      </c>
      <c r="C58" s="1">
        <v>7000</v>
      </c>
    </row>
    <row r="59" spans="1:3" ht="12.75">
      <c r="A59" t="s">
        <v>66</v>
      </c>
      <c r="B59" s="1">
        <v>1958</v>
      </c>
      <c r="C59" s="1">
        <v>2000</v>
      </c>
    </row>
    <row r="60" spans="1:3" ht="12.75">
      <c r="A60" t="s">
        <v>67</v>
      </c>
      <c r="B60" s="1">
        <v>8825</v>
      </c>
      <c r="C60" s="1">
        <v>12238</v>
      </c>
    </row>
    <row r="61" spans="1:3" ht="12.75">
      <c r="A61" t="s">
        <v>68</v>
      </c>
      <c r="B61" s="1">
        <v>2800</v>
      </c>
      <c r="C61" s="1">
        <v>3500</v>
      </c>
    </row>
    <row r="62" spans="1:3" ht="12.75">
      <c r="A62" t="s">
        <v>69</v>
      </c>
      <c r="B62" s="1">
        <v>18318</v>
      </c>
      <c r="C62" s="1">
        <v>18000</v>
      </c>
    </row>
    <row r="63" spans="1:3" ht="12.75">
      <c r="A63" t="s">
        <v>70</v>
      </c>
      <c r="B63" s="1">
        <v>9602</v>
      </c>
      <c r="C63" s="1">
        <v>12000</v>
      </c>
    </row>
    <row r="64" spans="1:3" ht="12.75">
      <c r="A64" t="s">
        <v>71</v>
      </c>
      <c r="B64" s="1">
        <v>6720</v>
      </c>
      <c r="C64" s="1">
        <v>6720</v>
      </c>
    </row>
    <row r="65" spans="1:3" ht="12.75">
      <c r="A65" t="s">
        <v>103</v>
      </c>
      <c r="B65" s="1">
        <v>41904</v>
      </c>
      <c r="C65" s="1">
        <v>128929</v>
      </c>
    </row>
    <row r="66" spans="1:3" ht="12.75">
      <c r="A66" t="s">
        <v>72</v>
      </c>
      <c r="B66" s="1">
        <v>232230</v>
      </c>
      <c r="C66" s="1">
        <v>360209</v>
      </c>
    </row>
    <row r="67" spans="1:3" ht="12.75">
      <c r="A67" t="s">
        <v>73</v>
      </c>
      <c r="B67" s="1">
        <v>69544</v>
      </c>
      <c r="C67" s="1">
        <v>69816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Bauman, Jamie (OMAFRA)</dc:creator>
  <cp:keywords/>
  <dc:description>revised May 1, 2003</dc:description>
  <cp:lastModifiedBy>user</cp:lastModifiedBy>
  <cp:lastPrinted>2006-03-08T17:17:04Z</cp:lastPrinted>
  <dcterms:created xsi:type="dcterms:W3CDTF">1999-06-17T17:57:31Z</dcterms:created>
  <dcterms:modified xsi:type="dcterms:W3CDTF">2017-09-30T15:15:41Z</dcterms:modified>
  <cp:category/>
  <cp:version/>
  <cp:contentType/>
  <cp:contentStatus/>
</cp:coreProperties>
</file>