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5480" windowHeight="10875" tabRatio="913" activeTab="1"/>
  </bookViews>
  <sheets>
    <sheet name="Introduction" sheetId="1" r:id="rId1"/>
    <sheet name="Input Value" sheetId="2" r:id="rId2"/>
    <sheet name="Utilities" sheetId="3" r:id="rId3"/>
    <sheet name="Market Projection" sheetId="4" r:id="rId4"/>
    <sheet name="Loan Amortization" sheetId="5" r:id="rId5"/>
    <sheet name="Personnel Expenses" sheetId="6" r:id="rId6"/>
    <sheet name="Expense Projection" sheetId="7" r:id="rId7"/>
    <sheet name="Operations Summary" sheetId="8" r:id="rId8"/>
    <sheet name="Depreciation" sheetId="9" r:id="rId9"/>
    <sheet name="Return On Investment" sheetId="10" r:id="rId10"/>
  </sheets>
  <definedNames/>
  <calcPr fullCalcOnLoad="1"/>
</workbook>
</file>

<file path=xl/sharedStrings.xml><?xml version="1.0" encoding="utf-8"?>
<sst xmlns="http://schemas.openxmlformats.org/spreadsheetml/2006/main" count="505" uniqueCount="323">
  <si>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</si>
  <si>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</si>
  <si>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</si>
  <si>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</si>
  <si>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</si>
  <si>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</si>
  <si>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</si>
  <si>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</si>
  <si>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</si>
  <si>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</si>
  <si>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Units</t>
  </si>
  <si>
    <t>Total Volume</t>
  </si>
  <si>
    <t>Year 0</t>
  </si>
  <si>
    <t>Total Investment</t>
  </si>
  <si>
    <t>Loan Amount</t>
  </si>
  <si>
    <t>Loan Term</t>
  </si>
  <si>
    <t>Long Term Interest Rate</t>
  </si>
  <si>
    <t>Percent Financed</t>
  </si>
  <si>
    <t>Working Capital</t>
  </si>
  <si>
    <t>Beginning Balance</t>
  </si>
  <si>
    <t>Interest Rate</t>
  </si>
  <si>
    <t>Interest</t>
  </si>
  <si>
    <t>Annual Payment</t>
  </si>
  <si>
    <t>Principal</t>
  </si>
  <si>
    <t>Ending Balance</t>
  </si>
  <si>
    <t>Short Term Interest Rate</t>
  </si>
  <si>
    <t>Interest Amount</t>
  </si>
  <si>
    <t>Total Interest Expense</t>
  </si>
  <si>
    <t>Labor</t>
  </si>
  <si>
    <t>Occupation</t>
  </si>
  <si>
    <t>Salary</t>
  </si>
  <si>
    <t>Overtime</t>
  </si>
  <si>
    <t>Benefits</t>
  </si>
  <si>
    <t>Salaries</t>
  </si>
  <si>
    <t>Benefits as % of Salaries</t>
  </si>
  <si>
    <t>% of Payroll Tax to Salaries</t>
  </si>
  <si>
    <t>% of Retirement Tax to Salaries</t>
  </si>
  <si>
    <t>Total Labor</t>
  </si>
  <si>
    <t>Variable</t>
  </si>
  <si>
    <t>Utilities</t>
  </si>
  <si>
    <t>Total Variable</t>
  </si>
  <si>
    <t>Fixed</t>
  </si>
  <si>
    <t>Maintenance</t>
  </si>
  <si>
    <t>Property Tax</t>
  </si>
  <si>
    <t>Insurance</t>
  </si>
  <si>
    <t>Supplies</t>
  </si>
  <si>
    <t>Buildings</t>
  </si>
  <si>
    <t>Special Purpose Buildings</t>
  </si>
  <si>
    <t>Equipment and Heavy Rolling Stock</t>
  </si>
  <si>
    <t>Light Trucks and Vehicles</t>
  </si>
  <si>
    <t>Depreciation</t>
  </si>
  <si>
    <t>Other</t>
  </si>
  <si>
    <t>Miscellaneous</t>
  </si>
  <si>
    <t>Total Other</t>
  </si>
  <si>
    <t>Total Fixed</t>
  </si>
  <si>
    <t>Total Expenses</t>
  </si>
  <si>
    <t>Total</t>
  </si>
  <si>
    <t>Expenses</t>
  </si>
  <si>
    <t>Discount Rate</t>
  </si>
  <si>
    <t>Return On Investment</t>
  </si>
  <si>
    <t>Quality Percent</t>
  </si>
  <si>
    <t>Gross Margin</t>
  </si>
  <si>
    <t>Discount Factor</t>
  </si>
  <si>
    <t>PV of Income</t>
  </si>
  <si>
    <t>Total Expense</t>
  </si>
  <si>
    <t>Cash Expenses</t>
  </si>
  <si>
    <t>PV of Expenses</t>
  </si>
  <si>
    <t>Benefits Less Costs</t>
  </si>
  <si>
    <t>Net Present Value</t>
  </si>
  <si>
    <t>Internal Rate of Return</t>
  </si>
  <si>
    <t>Year</t>
  </si>
  <si>
    <t>Annual Total Depreciation</t>
  </si>
  <si>
    <t>Light Truck and Vehicles</t>
  </si>
  <si>
    <t>39 year Straight Line</t>
  </si>
  <si>
    <t>Total Depreciation</t>
  </si>
  <si>
    <t>10 year with percentage from table</t>
  </si>
  <si>
    <t>7 year with percentage from table</t>
  </si>
  <si>
    <t>5 year with percentage from table</t>
  </si>
  <si>
    <t>Cost</t>
  </si>
  <si>
    <t>Life</t>
  </si>
  <si>
    <t>Salvage</t>
  </si>
  <si>
    <t>Period</t>
  </si>
  <si>
    <t>Depreciation per year for 39 years</t>
  </si>
  <si>
    <t>Rate</t>
  </si>
  <si>
    <t>Description</t>
  </si>
  <si>
    <t>Value</t>
  </si>
  <si>
    <t>#1</t>
  </si>
  <si>
    <t>#2</t>
  </si>
  <si>
    <t>#3</t>
  </si>
  <si>
    <t>#4</t>
  </si>
  <si>
    <t>#5</t>
  </si>
  <si>
    <t>Total Buildings</t>
  </si>
  <si>
    <t>Plant</t>
  </si>
  <si>
    <t>Total Equip and Heavy Rolling Stock</t>
  </si>
  <si>
    <t>Total Special Purpose Building</t>
  </si>
  <si>
    <t>Total Light Trucks and Vehicles</t>
  </si>
  <si>
    <t>10 year Straight Line</t>
  </si>
  <si>
    <t>7 Yr MACRS with half year convention</t>
  </si>
  <si>
    <t>5 Yr MACRS with half year convention</t>
  </si>
  <si>
    <t>Wage Inflation</t>
  </si>
  <si>
    <t>Expense Inflation Rate</t>
  </si>
  <si>
    <t>Total Plant Property and Equipment</t>
  </si>
  <si>
    <t>Total Plant Property &amp; Equip</t>
  </si>
  <si>
    <t>Income Tax Rate</t>
  </si>
  <si>
    <t>Overtime%</t>
  </si>
  <si>
    <t>Costs</t>
  </si>
  <si>
    <t>Initial Volume</t>
  </si>
  <si>
    <t>Sales Projections</t>
  </si>
  <si>
    <t xml:space="preserve">Sales growth </t>
  </si>
  <si>
    <t>Product Name</t>
  </si>
  <si>
    <t>VARIABLE COST OF PRODUCTION PER UNIT</t>
  </si>
  <si>
    <t>Product</t>
  </si>
  <si>
    <t>Unit</t>
  </si>
  <si>
    <t>VC/unit</t>
  </si>
  <si>
    <t>Production Expense</t>
  </si>
  <si>
    <t>TOTAL VARIABLE EXP.</t>
  </si>
  <si>
    <t>Production Expenses</t>
  </si>
  <si>
    <t>Total PV of Income</t>
  </si>
  <si>
    <t>Less Depreciation and Interest</t>
  </si>
  <si>
    <t>Total PV of Expenses</t>
  </si>
  <si>
    <t>PV Benefits Less PV Costs</t>
  </si>
  <si>
    <t>Land</t>
  </si>
  <si>
    <t>Total Land, Plant Property and Equipment</t>
  </si>
  <si>
    <t xml:space="preserve">This sheet summaries the volume and price and sales growth information from the input page.  There is no input on this page.  </t>
  </si>
  <si>
    <t>This sheet allows you to input salaries and overtime assumptions for various positions.</t>
  </si>
  <si>
    <t>Benefit calculations are based on the percentage you entered on the "Input" sheet.</t>
  </si>
  <si>
    <t>This sheet summaries income, expenses and net profit.  There are no inputs on this sheet</t>
  </si>
  <si>
    <t>Before Tax Profit</t>
  </si>
  <si>
    <t>Tax</t>
  </si>
  <si>
    <t>After Tax Profit</t>
  </si>
  <si>
    <t>Input cells are shaded in blue.</t>
  </si>
  <si>
    <t>If you choose to modify the template we would advise you to save it under another name and retain the original for reference.</t>
  </si>
  <si>
    <t>Developed by:</t>
  </si>
  <si>
    <t xml:space="preserve">Phil Kenkel and Rodney Holcomb, Oklahoma State University </t>
  </si>
  <si>
    <t>Developed for:</t>
  </si>
  <si>
    <t>Ag Marketing Resource Center</t>
  </si>
  <si>
    <t>To get started go to the "Input Page"</t>
  </si>
  <si>
    <t>For comments or suggestions contact:</t>
  </si>
  <si>
    <t>This sheet summaries the feasibility of the project.  It provides net present value, benefit cost ratio and internal rate of return</t>
  </si>
  <si>
    <t>PV Benefit/PV Cost Ratio</t>
  </si>
  <si>
    <t>This sheet calculates depreciation.  You enter descriptions and values for buildings, equipment and other property.</t>
  </si>
  <si>
    <t>Total Personnel</t>
  </si>
  <si>
    <t>This sheet calculates loan amortization and interest.  There are no inputs on this sheet.</t>
  </si>
  <si>
    <t>INPUT CAPITAL STRUCTURE AND</t>
  </si>
  <si>
    <t>EXPENSE INFORMATION</t>
  </si>
  <si>
    <t>Gross Sales Projection</t>
  </si>
  <si>
    <t>Price/Unit</t>
  </si>
  <si>
    <t>Gross Sales</t>
  </si>
  <si>
    <t>TOTAL GROSS SALES</t>
  </si>
  <si>
    <t>Rodney Holcomb, holcorb@okstate.edu 405-744-6272</t>
  </si>
  <si>
    <t>The template can also be modified and expanded to meet your particular situation by turning off the protection.</t>
  </si>
  <si>
    <t>Each sheet is currently protected allowing you to only input information in the input cells.</t>
  </si>
  <si>
    <t>Pellets</t>
  </si>
  <si>
    <t xml:space="preserve"> </t>
  </si>
  <si>
    <t>Meal</t>
  </si>
  <si>
    <t>tons</t>
  </si>
  <si>
    <t>Processing Equipment</t>
  </si>
  <si>
    <t>Installation</t>
  </si>
  <si>
    <t>Forklift</t>
  </si>
  <si>
    <t>Harvesting/ 12</t>
  </si>
  <si>
    <t>Manager</t>
  </si>
  <si>
    <t>N/A</t>
  </si>
  <si>
    <t>Processing/2</t>
  </si>
  <si>
    <t>After Tax Profits</t>
  </si>
  <si>
    <t>Principle</t>
  </si>
  <si>
    <t xml:space="preserve">Cash Flow </t>
  </si>
  <si>
    <t>Return on Assets</t>
  </si>
  <si>
    <t>Electricity cost per Kilowatt</t>
  </si>
  <si>
    <t>Gas Cost per MCF</t>
  </si>
  <si>
    <t>Electricity</t>
  </si>
  <si>
    <t>Natural Gas</t>
  </si>
  <si>
    <t>Pellet Moisture</t>
  </si>
  <si>
    <t>Electricity Cost/KW</t>
  </si>
  <si>
    <t>KW/HP</t>
  </si>
  <si>
    <t>Hay price/ton</t>
  </si>
  <si>
    <t>Typical hay moisture</t>
  </si>
  <si>
    <t>Custom Hauling cost/ ton mile</t>
  </si>
  <si>
    <t>Average distance field to co-op</t>
  </si>
  <si>
    <t>Pellet dry matter/ton</t>
  </si>
  <si>
    <t>Forage needed/ton pellet</t>
  </si>
  <si>
    <t>Tons Forage needed/ton pellet</t>
  </si>
  <si>
    <t>Forage needed (tons)</t>
  </si>
  <si>
    <t>Hay price/ton:dry matter</t>
  </si>
  <si>
    <t>price/ton forage</t>
  </si>
  <si>
    <t>Water ton-harvested</t>
  </si>
  <si>
    <t>Water/ton pellets</t>
  </si>
  <si>
    <t>Water removed/ton</t>
  </si>
  <si>
    <t>BTU's/lb. water</t>
  </si>
  <si>
    <t>BTU's needed/ton</t>
  </si>
  <si>
    <t>BTU's needed</t>
  </si>
  <si>
    <t>MCF Gas needed</t>
  </si>
  <si>
    <t>Gas Cost/MCF</t>
  </si>
  <si>
    <t>Hours of Operation</t>
  </si>
  <si>
    <t>VARIABLE COST BREAKDOWN</t>
  </si>
  <si>
    <t>Custom Hauling</t>
  </si>
  <si>
    <t>$/unit</t>
  </si>
  <si>
    <t>Variable Costs</t>
  </si>
  <si>
    <t>Raw Materials</t>
  </si>
  <si>
    <t>Horse Power Req./Hour</t>
  </si>
  <si>
    <t>Horsepower per hour</t>
  </si>
  <si>
    <t>MCF Gas Needed/Ton</t>
  </si>
  <si>
    <t>Electicity use per year</t>
  </si>
  <si>
    <t>Electricity Cost/ Year</t>
  </si>
  <si>
    <t>Electricity Cost/ Ton</t>
  </si>
  <si>
    <t>Gas Cost/ Year</t>
  </si>
  <si>
    <t>Gas Cost/Ton</t>
  </si>
  <si>
    <t>Other Utilities</t>
  </si>
  <si>
    <t>Water Cost/Year</t>
  </si>
  <si>
    <t>Water Cost/ Ton</t>
  </si>
  <si>
    <t>Telphone Cost/Year</t>
  </si>
  <si>
    <t>Telephone Cost/Ton</t>
  </si>
  <si>
    <t>Water Cost/ Year</t>
  </si>
  <si>
    <t>Natural Gas Cost/ Year</t>
  </si>
  <si>
    <t>Natural Gas Cost/ Ton</t>
  </si>
  <si>
    <t>Telephone Cost/ Year</t>
  </si>
  <si>
    <t>Telephone Cost/ Ton</t>
  </si>
  <si>
    <t>Total Utilities/ Year</t>
  </si>
  <si>
    <t>Total Utilities/ Ton</t>
  </si>
  <si>
    <t xml:space="preserve">INPUT PRODUCTS, INITIAL VOLUME, MARGIN PER </t>
  </si>
  <si>
    <t>UNIT AND ANTICIPATED SALES GROWTH RATE</t>
  </si>
  <si>
    <t>Actual Price per Ton Forage</t>
  </si>
  <si>
    <t xml:space="preserve">% Forage vs. Hay </t>
  </si>
  <si>
    <t>Field Moist (Forage)</t>
  </si>
  <si>
    <t>Forage Needs</t>
  </si>
  <si>
    <t>Hay Needs</t>
  </si>
  <si>
    <t>Hay needed/ton pellet</t>
  </si>
  <si>
    <t>Tons Hay needed/ton pellet</t>
  </si>
  <si>
    <t>Hay Needed (tons)</t>
  </si>
  <si>
    <t>% of Total Volume to Pellets</t>
  </si>
  <si>
    <t>Estimate of Cash Flows</t>
  </si>
  <si>
    <t>(does not consider increase or decrease in working capital loan)</t>
  </si>
  <si>
    <t>(after tax profits/PP&amp;E investment)</t>
  </si>
  <si>
    <t>% of Employee INS Tax to Salaries</t>
  </si>
  <si>
    <t>NPV</t>
  </si>
  <si>
    <t>IRR</t>
  </si>
  <si>
    <t>B/C</t>
  </si>
  <si>
    <t>Natural Gas Price</t>
  </si>
  <si>
    <t>Alfalfa Pellet Price</t>
  </si>
  <si>
    <t>OPERATIONAL SUMMARY</t>
  </si>
  <si>
    <t>UTILITIES</t>
  </si>
  <si>
    <t>OTHER</t>
  </si>
  <si>
    <t>TAX INFORMATION</t>
  </si>
  <si>
    <t>PAYROLL INFORMATION</t>
  </si>
  <si>
    <t>Maintenance as % of PP&amp;E</t>
  </si>
  <si>
    <t>Insurance as % of PP&amp;E</t>
  </si>
  <si>
    <t>Discount rate for NPV calc</t>
  </si>
  <si>
    <t>Property Tax as % of PP&amp;E</t>
  </si>
  <si>
    <t>FORWARD TO RESULTS</t>
  </si>
  <si>
    <t xml:space="preserve">OTHER INPUTS ENTRIES ARE IN </t>
  </si>
  <si>
    <t>PERSONNEL EXPENSES</t>
  </si>
  <si>
    <t>EXPENSE PROJECTIONS</t>
  </si>
  <si>
    <t>DEPRECIATION</t>
  </si>
  <si>
    <t>BACK TO INPUTS</t>
  </si>
  <si>
    <t>MENU</t>
  </si>
  <si>
    <t>MENU: Click Below to Move to the Indicated Page</t>
  </si>
  <si>
    <t>BACK TO INTRODUCTION</t>
  </si>
  <si>
    <t>INPUTS</t>
  </si>
  <si>
    <t>MARKET PROJECTION</t>
  </si>
  <si>
    <t>LOAN AMORITIZATION</t>
  </si>
  <si>
    <t>EXPENSE PROJECTION</t>
  </si>
  <si>
    <t>OPERATIONS SUMMARY</t>
  </si>
  <si>
    <t>RETURN ON INVESTMENT</t>
  </si>
  <si>
    <t>Baseline</t>
  </si>
  <si>
    <t>Natural Gas Cost</t>
  </si>
  <si>
    <t>Raw Materials/Hay</t>
  </si>
  <si>
    <t>Pellet to Meal Ratio</t>
  </si>
  <si>
    <t>Forage Cost/Ton Pellets</t>
  </si>
  <si>
    <t>Forage Cost</t>
  </si>
  <si>
    <t>Hay Cost</t>
  </si>
  <si>
    <t>Hay Cost/ Ton Pellets</t>
  </si>
  <si>
    <t>Hay and Forage wht cost/ton pellets</t>
  </si>
  <si>
    <t>Hay and Forage weighted cost/ton</t>
  </si>
  <si>
    <t>Hay Cost/ Ton</t>
  </si>
  <si>
    <t>Forage Cost/ Ton</t>
  </si>
  <si>
    <t>Custom Hauling/Ton Pellets</t>
  </si>
  <si>
    <t>WORKING CAPITAL</t>
  </si>
  <si>
    <t>Total Working Cap Requirement</t>
  </si>
  <si>
    <t>Phil Kenkel,  kenkel@okstate.edu  405-744-9818</t>
  </si>
  <si>
    <t>Months of Forage Operation</t>
  </si>
  <si>
    <t>Months of Hay Operation</t>
  </si>
  <si>
    <t>Hours of Operation / Month</t>
  </si>
  <si>
    <t>Hours of Operation / Year</t>
  </si>
  <si>
    <t>Annual volume from Forage</t>
  </si>
  <si>
    <t>Annual Volume from Hay</t>
  </si>
  <si>
    <t>Total Annual volume-tons</t>
  </si>
  <si>
    <t>Additional WC as % of Sales</t>
  </si>
  <si>
    <t>Additional WC in Dollars</t>
  </si>
  <si>
    <t>Additional WC for Contingency</t>
  </si>
  <si>
    <t>WC req. for Hay &amp; forage Purchases</t>
  </si>
  <si>
    <t>Alfalfa Dehydration Feasibility Template</t>
  </si>
  <si>
    <t>This templates is designed to assist you in assessing the feasibility of a typical alfalfa dehydration operation.</t>
  </si>
  <si>
    <t xml:space="preserve">The template assumes that the operation purchases forage and hay and then sells alfalfa pellets and/or alfalfa meal. </t>
  </si>
  <si>
    <t xml:space="preserve">The firms pays </t>
  </si>
  <si>
    <t>* Price/unit FOB to plant</t>
  </si>
  <si>
    <t>Price/unit*</t>
  </si>
  <si>
    <t>This Sheet summarizes expenses.  The only input is for "supplies and miscellaneous" expenses.</t>
  </si>
  <si>
    <t>* These would not be exact because of weekends</t>
  </si>
  <si>
    <t>Forag/Hay</t>
  </si>
  <si>
    <t xml:space="preserve">Months </t>
  </si>
  <si>
    <t>6 to 5</t>
  </si>
  <si>
    <t>5 to 6</t>
  </si>
  <si>
    <t>6 to 4</t>
  </si>
  <si>
    <t>6 to 3</t>
  </si>
  <si>
    <t>6 to 2</t>
  </si>
  <si>
    <t>6 to 1</t>
  </si>
  <si>
    <t>5.6 to 5.7</t>
  </si>
  <si>
    <t>Process Rate (tons pellets/hour)</t>
  </si>
  <si>
    <t>Power Req. (KW/ hour)</t>
  </si>
  <si>
    <t>Payback Period</t>
  </si>
  <si>
    <t>6 Forage + 0 hay</t>
  </si>
  <si>
    <t>****</t>
  </si>
  <si>
    <t>*Payback Period only displayed if less than 10 years</t>
  </si>
  <si>
    <t>$20 MCF: Approximate Break-even  Point</t>
  </si>
  <si>
    <t>$85/ton: Approximate Break-even Point</t>
  </si>
  <si>
    <t>Break-even Points calculated with all other paramaters at base line levels</t>
  </si>
  <si>
    <t>Discount rate</t>
  </si>
  <si>
    <t>$98.83: Approximate Break-even Point</t>
  </si>
  <si>
    <t>$64/ton: Approximate Break-even Point</t>
  </si>
  <si>
    <t>Months of Operation Using Forage</t>
  </si>
  <si>
    <t>Months of Operation Using Hay</t>
  </si>
  <si>
    <t>*Break-even Discount Rate: 22.85% as reflected by IRR</t>
  </si>
  <si>
    <t>The only input is the discount rate.  Page down to enter the B44results of your sensitivity analysis+B7</t>
  </si>
  <si>
    <t>Hay Processing Equip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</si>
</sst>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 horizontal="center"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69" fontId="0" fillId="0" borderId="0" xfId="17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6" fontId="0" fillId="0" borderId="0" xfId="0" applyNumberFormat="1" applyFill="1" applyAlignment="1" applyProtection="1">
      <alignment/>
      <protection locked="0"/>
    </xf>
    <xf numFmtId="6" fontId="0" fillId="2" borderId="0" xfId="0" applyNumberFormat="1" applyFill="1" applyAlignment="1" applyProtection="1">
      <alignment/>
      <protection locked="0"/>
    </xf>
    <xf numFmtId="9" fontId="0" fillId="2" borderId="0" xfId="21" applyFill="1" applyAlignment="1" applyProtection="1">
      <alignment/>
      <protection locked="0"/>
    </xf>
    <xf numFmtId="44" fontId="0" fillId="2" borderId="0" xfId="17" applyFill="1" applyAlignment="1" applyProtection="1">
      <alignment/>
      <protection locked="0"/>
    </xf>
    <xf numFmtId="9" fontId="0" fillId="0" borderId="0" xfId="21" applyAlignment="1" applyProtection="1">
      <alignment/>
      <protection locked="0"/>
    </xf>
    <xf numFmtId="44" fontId="0" fillId="0" borderId="0" xfId="17" applyAlignment="1">
      <alignment/>
    </xf>
    <xf numFmtId="6" fontId="0" fillId="2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4" fontId="0" fillId="2" borderId="0" xfId="17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44" fontId="0" fillId="0" borderId="0" xfId="0" applyNumberFormat="1" applyAlignment="1">
      <alignment/>
    </xf>
    <xf numFmtId="43" fontId="0" fillId="0" borderId="0" xfId="15" applyAlignment="1" applyProtection="1">
      <alignment/>
      <protection/>
    </xf>
    <xf numFmtId="7" fontId="0" fillId="0" borderId="0" xfId="0" applyNumberFormat="1" applyAlignment="1">
      <alignment/>
    </xf>
    <xf numFmtId="44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7" fontId="1" fillId="0" borderId="0" xfId="0" applyNumberFormat="1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5" fontId="1" fillId="0" borderId="0" xfId="0" applyNumberFormat="1" applyFont="1" applyAlignment="1" applyProtection="1">
      <alignment/>
      <protection/>
    </xf>
    <xf numFmtId="7" fontId="1" fillId="0" borderId="1" xfId="0" applyNumberFormat="1" applyFont="1" applyBorder="1" applyAlignment="1" applyProtection="1">
      <alignment/>
      <protection/>
    </xf>
    <xf numFmtId="44" fontId="0" fillId="0" borderId="0" xfId="17" applyFont="1" applyAlignment="1">
      <alignment/>
    </xf>
    <xf numFmtId="0" fontId="1" fillId="0" borderId="1" xfId="0" applyFont="1" applyBorder="1" applyAlignment="1" applyProtection="1">
      <alignment/>
      <protection/>
    </xf>
    <xf numFmtId="43" fontId="0" fillId="0" borderId="0" xfId="15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9" fillId="3" borderId="3" xfId="2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9" fillId="3" borderId="4" xfId="20" applyFont="1" applyFill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0" borderId="7" xfId="0" applyFont="1" applyBorder="1" applyAlignment="1">
      <alignment horizontal="left"/>
    </xf>
    <xf numFmtId="0" fontId="10" fillId="3" borderId="7" xfId="20" applyFont="1" applyFill="1" applyBorder="1" applyAlignment="1">
      <alignment horizontal="left"/>
    </xf>
    <xf numFmtId="0" fontId="10" fillId="3" borderId="8" xfId="20" applyFont="1" applyFill="1" applyBorder="1" applyAlignment="1">
      <alignment horizontal="left"/>
    </xf>
    <xf numFmtId="0" fontId="9" fillId="0" borderId="0" xfId="20" applyFont="1" applyFill="1" applyBorder="1" applyAlignment="1" applyProtection="1">
      <alignment horizontal="left"/>
      <protection/>
    </xf>
    <xf numFmtId="0" fontId="10" fillId="4" borderId="9" xfId="20" applyFont="1" applyFill="1" applyBorder="1" applyAlignment="1">
      <alignment/>
    </xf>
    <xf numFmtId="0" fontId="10" fillId="4" borderId="3" xfId="20" applyFont="1" applyFill="1" applyBorder="1" applyAlignment="1">
      <alignment/>
    </xf>
    <xf numFmtId="0" fontId="1" fillId="0" borderId="4" xfId="0" applyFont="1" applyBorder="1" applyAlignment="1">
      <alignment/>
    </xf>
    <xf numFmtId="0" fontId="10" fillId="4" borderId="4" xfId="20" applyFont="1" applyFill="1" applyBorder="1" applyAlignment="1">
      <alignment/>
    </xf>
    <xf numFmtId="44" fontId="0" fillId="0" borderId="0" xfId="17" applyAlignment="1" applyProtection="1">
      <alignment/>
      <protection/>
    </xf>
    <xf numFmtId="0" fontId="10" fillId="3" borderId="4" xfId="20" applyFont="1" applyFill="1" applyBorder="1" applyAlignment="1" applyProtection="1">
      <alignment horizontal="left"/>
      <protection/>
    </xf>
    <xf numFmtId="0" fontId="10" fillId="3" borderId="3" xfId="20" applyFont="1" applyFill="1" applyBorder="1" applyAlignment="1" applyProtection="1">
      <alignment horizontal="left"/>
      <protection/>
    </xf>
    <xf numFmtId="0" fontId="10" fillId="3" borderId="9" xfId="2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7" fontId="0" fillId="0" borderId="0" xfId="15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44" fontId="0" fillId="0" borderId="17" xfId="17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5" borderId="0" xfId="0" applyFont="1" applyFill="1" applyAlignment="1" applyProtection="1">
      <alignment horizontal="center"/>
      <protection/>
    </xf>
    <xf numFmtId="0" fontId="2" fillId="5" borderId="0" xfId="0" applyFont="1" applyFill="1" applyAlignment="1" applyProtection="1">
      <alignment/>
      <protection/>
    </xf>
    <xf numFmtId="169" fontId="0" fillId="0" borderId="0" xfId="17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8" fontId="2" fillId="0" borderId="0" xfId="0" applyNumberFormat="1" applyFont="1" applyAlignment="1" applyProtection="1">
      <alignment horizontal="center"/>
      <protection/>
    </xf>
    <xf numFmtId="8" fontId="2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9" fontId="1" fillId="0" borderId="0" xfId="17" applyNumberFormat="1" applyFont="1" applyFill="1" applyBorder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44" fontId="1" fillId="0" borderId="17" xfId="17" applyFont="1" applyFill="1" applyBorder="1" applyAlignment="1" applyProtection="1">
      <alignment/>
      <protection/>
    </xf>
    <xf numFmtId="44" fontId="1" fillId="0" borderId="0" xfId="17" applyNumberFormat="1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44" fontId="1" fillId="0" borderId="6" xfId="17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Alignment="1" applyProtection="1" quotePrefix="1">
      <alignment horizontal="center"/>
      <protection/>
    </xf>
    <xf numFmtId="9" fontId="0" fillId="0" borderId="0" xfId="2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9" fontId="0" fillId="0" borderId="0" xfId="21" applyFill="1" applyBorder="1" applyAlignment="1" applyProtection="1" quotePrefix="1">
      <alignment horizontal="right"/>
      <protection/>
    </xf>
    <xf numFmtId="0" fontId="2" fillId="0" borderId="0" xfId="0" applyNumberFormat="1" applyFont="1" applyAlignment="1" applyProtection="1">
      <alignment horizontal="center"/>
      <protection/>
    </xf>
    <xf numFmtId="10" fontId="0" fillId="0" borderId="0" xfId="0" applyNumberFormat="1" applyFill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6" fontId="1" fillId="0" borderId="0" xfId="0" applyNumberFormat="1" applyFont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6" fontId="0" fillId="0" borderId="18" xfId="0" applyNumberFormat="1" applyBorder="1" applyAlignment="1" applyProtection="1">
      <alignment/>
      <protection/>
    </xf>
    <xf numFmtId="8" fontId="0" fillId="0" borderId="18" xfId="0" applyNumberFormat="1" applyBorder="1" applyAlignment="1" applyProtection="1">
      <alignment/>
      <protection/>
    </xf>
    <xf numFmtId="169" fontId="0" fillId="0" borderId="0" xfId="17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6" fontId="0" fillId="0" borderId="0" xfId="0" applyNumberFormat="1" applyFont="1" applyFill="1" applyAlignment="1" applyProtection="1">
      <alignment/>
      <protection/>
    </xf>
    <xf numFmtId="6" fontId="1" fillId="0" borderId="0" xfId="0" applyNumberFormat="1" applyFont="1" applyFill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6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center" vertical="top" wrapText="1"/>
      <protection/>
    </xf>
    <xf numFmtId="10" fontId="0" fillId="0" borderId="0" xfId="0" applyNumberFormat="1" applyFont="1" applyAlignment="1" applyProtection="1">
      <alignment horizontal="center" vertical="top" wrapText="1"/>
      <protection/>
    </xf>
    <xf numFmtId="10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9" fillId="0" borderId="0" xfId="20" applyFont="1" applyBorder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169" fontId="1" fillId="0" borderId="0" xfId="17" applyNumberFormat="1" applyFont="1" applyAlignment="1" applyProtection="1">
      <alignment/>
      <protection/>
    </xf>
    <xf numFmtId="182" fontId="1" fillId="0" borderId="0" xfId="15" applyNumberFormat="1" applyFont="1" applyAlignment="1" applyProtection="1">
      <alignment/>
      <protection/>
    </xf>
    <xf numFmtId="182" fontId="0" fillId="0" borderId="0" xfId="15" applyNumberFormat="1" applyAlignment="1" applyProtection="1">
      <alignment/>
      <protection/>
    </xf>
    <xf numFmtId="169" fontId="1" fillId="0" borderId="0" xfId="17" applyNumberFormat="1" applyFont="1" applyAlignment="1" applyProtection="1">
      <alignment horizontal="center"/>
      <protection/>
    </xf>
    <xf numFmtId="44" fontId="0" fillId="0" borderId="0" xfId="17" applyNumberFormat="1" applyAlignment="1" applyProtection="1">
      <alignment/>
      <protection/>
    </xf>
    <xf numFmtId="44" fontId="0" fillId="0" borderId="19" xfId="17" applyNumberFormat="1" applyBorder="1" applyAlignment="1" applyProtection="1">
      <alignment/>
      <protection/>
    </xf>
    <xf numFmtId="10" fontId="0" fillId="0" borderId="20" xfId="0" applyNumberFormat="1" applyBorder="1" applyAlignment="1" applyProtection="1">
      <alignment/>
      <protection/>
    </xf>
    <xf numFmtId="10" fontId="0" fillId="0" borderId="0" xfId="21" applyNumberFormat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44" fontId="0" fillId="0" borderId="10" xfId="17" applyBorder="1" applyAlignment="1" applyProtection="1">
      <alignment/>
      <protection/>
    </xf>
    <xf numFmtId="44" fontId="0" fillId="2" borderId="0" xfId="17" applyFill="1" applyBorder="1" applyAlignment="1" applyProtection="1">
      <alignment/>
      <protection locked="0"/>
    </xf>
    <xf numFmtId="10" fontId="0" fillId="2" borderId="0" xfId="21" applyNumberFormat="1" applyFill="1" applyBorder="1" applyAlignment="1" applyProtection="1">
      <alignment/>
      <protection locked="0"/>
    </xf>
    <xf numFmtId="174" fontId="0" fillId="2" borderId="17" xfId="0" applyNumberFormat="1" applyFill="1" applyBorder="1" applyAlignment="1" applyProtection="1">
      <alignment/>
      <protection locked="0"/>
    </xf>
    <xf numFmtId="44" fontId="0" fillId="0" borderId="8" xfId="17" applyBorder="1" applyAlignment="1" applyProtection="1">
      <alignment/>
      <protection/>
    </xf>
    <xf numFmtId="44" fontId="0" fillId="2" borderId="16" xfId="17" applyFill="1" applyBorder="1" applyAlignment="1" applyProtection="1">
      <alignment/>
      <protection locked="0"/>
    </xf>
    <xf numFmtId="10" fontId="0" fillId="2" borderId="16" xfId="21" applyNumberFormat="1" applyFill="1" applyBorder="1" applyAlignment="1" applyProtection="1">
      <alignment/>
      <protection locked="0"/>
    </xf>
    <xf numFmtId="174" fontId="0" fillId="2" borderId="6" xfId="0" applyNumberFormat="1" applyFill="1" applyBorder="1" applyAlignment="1" applyProtection="1">
      <alignment/>
      <protection locked="0"/>
    </xf>
    <xf numFmtId="44" fontId="0" fillId="2" borderId="0" xfId="17" applyFont="1" applyFill="1" applyBorder="1" applyAlignment="1" applyProtection="1">
      <alignment/>
      <protection locked="0"/>
    </xf>
    <xf numFmtId="10" fontId="0" fillId="2" borderId="0" xfId="21" applyNumberFormat="1" applyFont="1" applyFill="1" applyBorder="1" applyAlignment="1" applyProtection="1">
      <alignment/>
      <protection locked="0"/>
    </xf>
    <xf numFmtId="44" fontId="0" fillId="0" borderId="10" xfId="17" applyFont="1" applyBorder="1" applyAlignment="1" applyProtection="1">
      <alignment/>
      <protection/>
    </xf>
    <xf numFmtId="44" fontId="0" fillId="0" borderId="8" xfId="17" applyFont="1" applyBorder="1" applyAlignment="1" applyProtection="1">
      <alignment/>
      <protection/>
    </xf>
    <xf numFmtId="44" fontId="0" fillId="2" borderId="16" xfId="17" applyFont="1" applyFill="1" applyBorder="1" applyAlignment="1" applyProtection="1">
      <alignment/>
      <protection locked="0"/>
    </xf>
    <xf numFmtId="10" fontId="0" fillId="2" borderId="16" xfId="21" applyNumberFormat="1" applyFont="1" applyFill="1" applyBorder="1" applyAlignment="1" applyProtection="1">
      <alignment/>
      <protection locked="0"/>
    </xf>
    <xf numFmtId="44" fontId="0" fillId="0" borderId="0" xfId="17" applyFont="1" applyFill="1" applyBorder="1" applyAlignment="1" applyProtection="1">
      <alignment/>
      <protection locked="0"/>
    </xf>
    <xf numFmtId="10" fontId="0" fillId="0" borderId="0" xfId="21" applyNumberFormat="1" applyFill="1" applyBorder="1" applyAlignment="1" applyProtection="1">
      <alignment/>
      <protection locked="0"/>
    </xf>
    <xf numFmtId="174" fontId="0" fillId="0" borderId="17" xfId="0" applyNumberFormat="1" applyFill="1" applyBorder="1" applyAlignment="1" applyProtection="1">
      <alignment/>
      <protection locked="0"/>
    </xf>
    <xf numFmtId="10" fontId="0" fillId="0" borderId="15" xfId="21" applyNumberFormat="1" applyFill="1" applyBorder="1" applyAlignment="1" applyProtection="1">
      <alignment/>
      <protection locked="0"/>
    </xf>
    <xf numFmtId="174" fontId="0" fillId="0" borderId="14" xfId="0" applyNumberFormat="1" applyFill="1" applyBorder="1" applyAlignment="1" applyProtection="1">
      <alignment/>
      <protection locked="0"/>
    </xf>
    <xf numFmtId="6" fontId="0" fillId="0" borderId="15" xfId="0" applyNumberFormat="1" applyBorder="1" applyAlignment="1" applyProtection="1">
      <alignment/>
      <protection/>
    </xf>
    <xf numFmtId="44" fontId="0" fillId="0" borderId="15" xfId="17" applyFont="1" applyFill="1" applyBorder="1" applyAlignment="1" applyProtection="1">
      <alignment/>
      <protection locked="0"/>
    </xf>
    <xf numFmtId="174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9" fontId="0" fillId="0" borderId="0" xfId="17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9" fontId="0" fillId="0" borderId="1" xfId="17" applyNumberForma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8" fontId="1" fillId="0" borderId="0" xfId="0" applyNumberFormat="1" applyFont="1" applyAlignment="1" applyProtection="1">
      <alignment/>
      <protection/>
    </xf>
    <xf numFmtId="44" fontId="1" fillId="0" borderId="10" xfId="17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9" fontId="0" fillId="0" borderId="10" xfId="0" applyNumberFormat="1" applyFill="1" applyBorder="1" applyAlignment="1" applyProtection="1">
      <alignment/>
      <protection/>
    </xf>
    <xf numFmtId="9" fontId="1" fillId="0" borderId="10" xfId="0" applyNumberFormat="1" applyFont="1" applyFill="1" applyBorder="1" applyAlignment="1" applyProtection="1">
      <alignment/>
      <protection/>
    </xf>
    <xf numFmtId="9" fontId="0" fillId="0" borderId="8" xfId="0" applyNumberFormat="1" applyBorder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44" fontId="13" fillId="0" borderId="0" xfId="17" applyFont="1" applyAlignment="1">
      <alignment/>
    </xf>
    <xf numFmtId="169" fontId="13" fillId="0" borderId="0" xfId="17" applyNumberFormat="1" applyFont="1" applyAlignment="1">
      <alignment/>
    </xf>
    <xf numFmtId="0" fontId="13" fillId="0" borderId="0" xfId="0" applyFont="1" applyAlignment="1">
      <alignment horizontal="center"/>
    </xf>
    <xf numFmtId="169" fontId="13" fillId="0" borderId="0" xfId="0" applyNumberFormat="1" applyFont="1" applyAlignment="1">
      <alignment/>
    </xf>
    <xf numFmtId="169" fontId="0" fillId="2" borderId="0" xfId="17" applyNumberFormat="1" applyFill="1" applyBorder="1" applyAlignment="1" applyProtection="1">
      <alignment horizontal="center"/>
      <protection locked="0"/>
    </xf>
    <xf numFmtId="10" fontId="0" fillId="2" borderId="0" xfId="21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0" fontId="0" fillId="2" borderId="0" xfId="21" applyNumberFormat="1" applyFill="1" applyBorder="1" applyAlignment="1" applyProtection="1">
      <alignment horizontal="center"/>
      <protection locked="0"/>
    </xf>
    <xf numFmtId="169" fontId="0" fillId="2" borderId="26" xfId="17" applyNumberFormat="1" applyFill="1" applyBorder="1" applyAlignment="1" applyProtection="1">
      <alignment horizontal="center"/>
      <protection locked="0"/>
    </xf>
    <xf numFmtId="10" fontId="0" fillId="2" borderId="26" xfId="21" applyNumberFormat="1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166" fontId="0" fillId="2" borderId="16" xfId="0" applyNumberFormat="1" applyFill="1" applyBorder="1" applyAlignment="1" applyProtection="1">
      <alignment/>
      <protection locked="0"/>
    </xf>
    <xf numFmtId="10" fontId="1" fillId="0" borderId="0" xfId="0" applyNumberFormat="1" applyFont="1" applyFill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/>
      <protection/>
    </xf>
    <xf numFmtId="0" fontId="10" fillId="3" borderId="7" xfId="20" applyFont="1" applyFill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/>
      <protection/>
    </xf>
    <xf numFmtId="0" fontId="10" fillId="3" borderId="8" xfId="20" applyFont="1" applyFill="1" applyBorder="1" applyAlignment="1" applyProtection="1">
      <alignment horizontal="left"/>
      <protection/>
    </xf>
    <xf numFmtId="0" fontId="1" fillId="0" borderId="6" xfId="0" applyFont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0" fillId="3" borderId="10" xfId="20" applyFont="1" applyFill="1" applyBorder="1" applyAlignment="1" applyProtection="1">
      <alignment horizontal="left"/>
      <protection/>
    </xf>
    <xf numFmtId="0" fontId="1" fillId="0" borderId="17" xfId="0" applyFont="1" applyBorder="1" applyAlignment="1">
      <alignment/>
    </xf>
    <xf numFmtId="0" fontId="0" fillId="0" borderId="14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 locked="0"/>
    </xf>
    <xf numFmtId="10" fontId="0" fillId="2" borderId="17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/>
    </xf>
    <xf numFmtId="9" fontId="0" fillId="2" borderId="17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38" fontId="0" fillId="0" borderId="17" xfId="0" applyNumberFormat="1" applyFont="1" applyFill="1" applyBorder="1" applyAlignment="1" applyProtection="1">
      <alignment horizontal="center"/>
      <protection/>
    </xf>
    <xf numFmtId="169" fontId="0" fillId="0" borderId="17" xfId="17" applyNumberFormat="1" applyFont="1" applyFill="1" applyBorder="1" applyAlignment="1" applyProtection="1">
      <alignment/>
      <protection/>
    </xf>
    <xf numFmtId="6" fontId="0" fillId="0" borderId="0" xfId="0" applyNumberFormat="1" applyFont="1" applyFill="1" applyBorder="1" applyAlignment="1" applyProtection="1">
      <alignment/>
      <protection/>
    </xf>
    <xf numFmtId="9" fontId="0" fillId="2" borderId="17" xfId="21" applyFont="1" applyFill="1" applyBorder="1" applyAlignment="1" applyProtection="1">
      <alignment horizontal="center"/>
      <protection locked="0"/>
    </xf>
    <xf numFmtId="44" fontId="0" fillId="2" borderId="6" xfId="17" applyFont="1" applyFill="1" applyBorder="1" applyAlignment="1" applyProtection="1">
      <alignment horizontal="center"/>
      <protection locked="0"/>
    </xf>
    <xf numFmtId="44" fontId="0" fillId="0" borderId="0" xfId="17" applyFont="1" applyFill="1" applyBorder="1" applyAlignment="1" applyProtection="1">
      <alignment horizontal="center"/>
      <protection/>
    </xf>
    <xf numFmtId="9" fontId="0" fillId="2" borderId="6" xfId="0" applyNumberFormat="1" applyFont="1" applyFill="1" applyBorder="1" applyAlignment="1" applyProtection="1">
      <alignment/>
      <protection locked="0"/>
    </xf>
    <xf numFmtId="9" fontId="0" fillId="2" borderId="17" xfId="21" applyFont="1" applyFill="1" applyBorder="1" applyAlignment="1" applyProtection="1">
      <alignment/>
      <protection locked="0"/>
    </xf>
    <xf numFmtId="9" fontId="0" fillId="0" borderId="17" xfId="21" applyFont="1" applyFill="1" applyBorder="1" applyAlignment="1" applyProtection="1">
      <alignment/>
      <protection/>
    </xf>
    <xf numFmtId="10" fontId="0" fillId="0" borderId="14" xfId="0" applyNumberFormat="1" applyFont="1" applyFill="1" applyBorder="1" applyAlignment="1" applyProtection="1">
      <alignment/>
      <protection/>
    </xf>
    <xf numFmtId="9" fontId="0" fillId="0" borderId="17" xfId="21" applyFont="1" applyBorder="1" applyAlignment="1" applyProtection="1">
      <alignment/>
      <protection/>
    </xf>
    <xf numFmtId="10" fontId="0" fillId="2" borderId="6" xfId="0" applyNumberFormat="1" applyFont="1" applyFill="1" applyBorder="1" applyAlignment="1" applyProtection="1">
      <alignment/>
      <protection locked="0"/>
    </xf>
    <xf numFmtId="5" fontId="0" fillId="2" borderId="17" xfId="0" applyNumberFormat="1" applyFont="1" applyFill="1" applyBorder="1" applyAlignment="1" applyProtection="1">
      <alignment/>
      <protection locked="0"/>
    </xf>
    <xf numFmtId="44" fontId="0" fillId="0" borderId="6" xfId="0" applyNumberFormat="1" applyFont="1" applyBorder="1" applyAlignment="1" applyProtection="1">
      <alignment/>
      <protection/>
    </xf>
    <xf numFmtId="44" fontId="0" fillId="0" borderId="6" xfId="17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9" fontId="0" fillId="0" borderId="17" xfId="0" applyNumberFormat="1" applyFont="1" applyBorder="1" applyAlignment="1" applyProtection="1">
      <alignment/>
      <protection/>
    </xf>
    <xf numFmtId="44" fontId="0" fillId="0" borderId="0" xfId="0" applyNumberFormat="1" applyFont="1" applyBorder="1" applyAlignment="1" applyProtection="1">
      <alignment/>
      <protection/>
    </xf>
    <xf numFmtId="7" fontId="0" fillId="2" borderId="17" xfId="0" applyNumberFormat="1" applyFont="1" applyFill="1" applyBorder="1" applyAlignment="1" applyProtection="1">
      <alignment/>
      <protection locked="0"/>
    </xf>
    <xf numFmtId="7" fontId="0" fillId="0" borderId="17" xfId="0" applyNumberFormat="1" applyFont="1" applyBorder="1" applyAlignment="1" applyProtection="1">
      <alignment/>
      <protection/>
    </xf>
    <xf numFmtId="44" fontId="0" fillId="0" borderId="0" xfId="17" applyFont="1" applyFill="1" applyBorder="1" applyAlignment="1" applyProtection="1">
      <alignment/>
      <protection/>
    </xf>
    <xf numFmtId="10" fontId="0" fillId="0" borderId="17" xfId="0" applyNumberFormat="1" applyFont="1" applyFill="1" applyBorder="1" applyAlignment="1" applyProtection="1">
      <alignment/>
      <protection/>
    </xf>
    <xf numFmtId="44" fontId="0" fillId="0" borderId="16" xfId="17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5" fillId="3" borderId="7" xfId="2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44" fontId="0" fillId="0" borderId="0" xfId="17" applyNumberFormat="1" applyFont="1" applyFill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44" fontId="0" fillId="2" borderId="17" xfId="17" applyFont="1" applyFill="1" applyBorder="1" applyAlignment="1" applyProtection="1">
      <alignment/>
      <protection locked="0"/>
    </xf>
    <xf numFmtId="43" fontId="0" fillId="0" borderId="0" xfId="15" applyFont="1" applyFill="1" applyBorder="1" applyAlignment="1" applyProtection="1">
      <alignment/>
      <protection/>
    </xf>
    <xf numFmtId="43" fontId="0" fillId="2" borderId="17" xfId="15" applyFont="1" applyFill="1" applyBorder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/>
    </xf>
    <xf numFmtId="0" fontId="15" fillId="3" borderId="8" xfId="2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43" fontId="0" fillId="0" borderId="17" xfId="15" applyFont="1" applyFill="1" applyBorder="1" applyAlignment="1" applyProtection="1">
      <alignment/>
      <protection/>
    </xf>
    <xf numFmtId="9" fontId="0" fillId="2" borderId="6" xfId="21" applyFont="1" applyFill="1" applyBorder="1" applyAlignment="1" applyProtection="1" quotePrefix="1">
      <alignment horizontal="right"/>
      <protection locked="0"/>
    </xf>
    <xf numFmtId="0" fontId="0" fillId="0" borderId="0" xfId="0" applyFont="1" applyFill="1" applyAlignment="1" applyProtection="1">
      <alignment/>
      <protection/>
    </xf>
    <xf numFmtId="169" fontId="0" fillId="0" borderId="17" xfId="17" applyNumberFormat="1" applyFont="1" applyBorder="1" applyAlignment="1" applyProtection="1">
      <alignment/>
      <protection/>
    </xf>
    <xf numFmtId="169" fontId="0" fillId="2" borderId="17" xfId="17" applyNumberFormat="1" applyFont="1" applyFill="1" applyBorder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/>
    </xf>
    <xf numFmtId="7" fontId="0" fillId="0" borderId="8" xfId="0" applyNumberFormat="1" applyFont="1" applyBorder="1" applyAlignment="1" applyProtection="1">
      <alignment horizontal="left"/>
      <protection/>
    </xf>
    <xf numFmtId="169" fontId="0" fillId="0" borderId="6" xfId="17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RowColHeaders="0" workbookViewId="0" topLeftCell="A1">
      <selection activeCell="D37" sqref="D37"/>
    </sheetView>
  </sheetViews>
  <sheetFormatPr defaultColWidth="9.140625" defaultRowHeight="12.75"/>
  <cols>
    <col min="1" max="1" width="21.8515625" style="0" customWidth="1"/>
    <col min="2" max="2" width="13.00390625" style="0" customWidth="1"/>
    <col min="3" max="3" width="24.57421875" style="0" customWidth="1"/>
    <col min="11" max="12" width="9.7109375" style="0" bestFit="1" customWidth="1"/>
  </cols>
  <sheetData>
    <row r="1" spans="1:9" ht="18">
      <c r="A1" s="31" t="s">
        <v>289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31"/>
      <c r="B2" s="19"/>
      <c r="C2" s="19"/>
      <c r="D2" s="19"/>
      <c r="E2" s="19"/>
      <c r="F2" s="19"/>
      <c r="G2" s="19"/>
      <c r="H2" s="19"/>
      <c r="I2" s="19"/>
    </row>
    <row r="3" spans="1:9" ht="18.75">
      <c r="A3" s="31" t="s">
        <v>134</v>
      </c>
      <c r="B3" s="32" t="s">
        <v>135</v>
      </c>
      <c r="C3" s="19"/>
      <c r="D3" s="19"/>
      <c r="E3" s="19"/>
      <c r="F3" s="19"/>
      <c r="G3" s="19"/>
      <c r="H3" s="19"/>
      <c r="I3" s="19"/>
    </row>
    <row r="4" spans="1:9" ht="18.75">
      <c r="A4" s="31" t="s">
        <v>132</v>
      </c>
      <c r="B4" s="32" t="s">
        <v>133</v>
      </c>
      <c r="C4" s="19"/>
      <c r="D4" s="19"/>
      <c r="E4" s="19"/>
      <c r="F4" s="19"/>
      <c r="G4" s="19"/>
      <c r="H4" s="19"/>
      <c r="I4" s="19"/>
    </row>
    <row r="5" spans="1:9" ht="18">
      <c r="A5" s="31"/>
      <c r="B5" s="19"/>
      <c r="C5" s="19"/>
      <c r="D5" s="19"/>
      <c r="E5" s="19"/>
      <c r="F5" s="19"/>
      <c r="G5" s="19"/>
      <c r="H5" s="19"/>
      <c r="I5" s="19"/>
    </row>
    <row r="6" spans="1:9" ht="16.5">
      <c r="A6" s="33" t="s">
        <v>290</v>
      </c>
      <c r="B6" s="19"/>
      <c r="C6" s="19"/>
      <c r="D6" s="19"/>
      <c r="E6" s="19"/>
      <c r="F6" s="19"/>
      <c r="G6" s="19"/>
      <c r="H6" s="19"/>
      <c r="I6" s="19"/>
    </row>
    <row r="7" spans="1:9" ht="16.5">
      <c r="A7" s="33" t="s">
        <v>291</v>
      </c>
      <c r="D7" s="19"/>
      <c r="E7" s="19"/>
      <c r="F7" s="19"/>
      <c r="G7" s="19"/>
      <c r="H7" s="19"/>
      <c r="I7" s="19"/>
    </row>
    <row r="8" spans="1:13" ht="18">
      <c r="A8" s="31" t="s">
        <v>292</v>
      </c>
      <c r="D8" s="19"/>
      <c r="E8" s="19"/>
      <c r="F8" s="19"/>
      <c r="G8" s="19"/>
      <c r="H8" s="19"/>
      <c r="I8" s="19"/>
      <c r="M8" s="5"/>
    </row>
    <row r="9" spans="1:9" ht="16.5">
      <c r="A9" s="33" t="s">
        <v>130</v>
      </c>
      <c r="B9" s="19"/>
      <c r="C9" s="35"/>
      <c r="D9" s="19"/>
      <c r="E9" s="19"/>
      <c r="F9" s="19"/>
      <c r="G9" s="19"/>
      <c r="H9" s="19"/>
      <c r="I9" s="19"/>
    </row>
    <row r="10" spans="1:9" ht="16.5">
      <c r="A10" s="33" t="s">
        <v>151</v>
      </c>
      <c r="B10" s="19"/>
      <c r="C10" s="19"/>
      <c r="D10" s="19"/>
      <c r="E10" s="19"/>
      <c r="F10" s="19"/>
      <c r="G10" s="19"/>
      <c r="H10" s="19"/>
      <c r="I10" s="19"/>
    </row>
    <row r="11" spans="1:9" ht="16.5">
      <c r="A11" s="33" t="s">
        <v>150</v>
      </c>
      <c r="B11" s="19"/>
      <c r="C11" s="19"/>
      <c r="D11" s="19"/>
      <c r="E11" s="19"/>
      <c r="F11" s="19"/>
      <c r="G11" s="19"/>
      <c r="H11" s="19"/>
      <c r="I11" s="19"/>
    </row>
    <row r="12" spans="1:9" ht="16.5">
      <c r="A12" s="33" t="s">
        <v>131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6.5">
      <c r="A14" s="33" t="s">
        <v>136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34" t="s">
        <v>137</v>
      </c>
      <c r="B16" s="34"/>
      <c r="C16" s="34" t="s">
        <v>277</v>
      </c>
      <c r="E16" s="19"/>
      <c r="F16" s="19"/>
      <c r="G16" s="19"/>
      <c r="H16" s="19"/>
      <c r="I16" s="19"/>
    </row>
    <row r="17" spans="1:9" ht="12.75">
      <c r="A17" s="18"/>
      <c r="B17" s="18"/>
      <c r="C17" s="20" t="s">
        <v>149</v>
      </c>
      <c r="E17" s="18"/>
      <c r="F17" s="18"/>
      <c r="G17" s="18"/>
      <c r="H17" s="18"/>
      <c r="I17" s="18"/>
    </row>
    <row r="18" spans="1:9" ht="13.5" thickBot="1">
      <c r="A18" s="18"/>
      <c r="B18" s="18"/>
      <c r="C18" s="20"/>
      <c r="D18" s="18"/>
      <c r="E18" s="18"/>
      <c r="F18" s="18"/>
      <c r="G18" s="18"/>
      <c r="H18" s="18"/>
      <c r="I18" s="18"/>
    </row>
    <row r="19" ht="13.5" thickBot="1">
      <c r="C19" s="72" t="s">
        <v>253</v>
      </c>
    </row>
    <row r="20" ht="13.5" thickBot="1">
      <c r="C20" s="70" t="s">
        <v>256</v>
      </c>
    </row>
    <row r="21" ht="13.5" thickBot="1">
      <c r="C21" s="73" t="s">
        <v>239</v>
      </c>
    </row>
    <row r="22" ht="13.5" thickBot="1">
      <c r="C22" s="70" t="s">
        <v>257</v>
      </c>
    </row>
    <row r="23" ht="13.5" thickBot="1">
      <c r="C23" s="73" t="s">
        <v>258</v>
      </c>
    </row>
    <row r="24" ht="13.5" thickBot="1">
      <c r="C24" s="70" t="s">
        <v>249</v>
      </c>
    </row>
    <row r="25" ht="13.5" thickBot="1">
      <c r="C25" s="73" t="s">
        <v>259</v>
      </c>
    </row>
    <row r="26" ht="13.5" thickBot="1">
      <c r="C26" s="70" t="s">
        <v>260</v>
      </c>
    </row>
    <row r="27" ht="13.5" thickBot="1">
      <c r="C27" s="73" t="s">
        <v>251</v>
      </c>
    </row>
    <row r="28" ht="13.5" thickBot="1">
      <c r="C28" s="71" t="s">
        <v>261</v>
      </c>
    </row>
    <row r="29" ht="12.75">
      <c r="C29" s="1"/>
    </row>
  </sheetData>
  <hyperlinks>
    <hyperlink ref="C20" location="'Input Value'!A1" display="INPUTS"/>
    <hyperlink ref="C21" location="Utilities!A1" display="UTILITIES"/>
    <hyperlink ref="C22" location="'Market Projection'!A1" display="MARKET PROJECTION"/>
    <hyperlink ref="C23" location="'Loan Amortization'!A1" display="LOAN AMORITIZATION"/>
    <hyperlink ref="C24" location="'Personnel Expenses'!A1" display="PERSONNEL EXPENSES"/>
    <hyperlink ref="C25" location="'Expense Projection'!A1" display="EXPENSE PROJECTION"/>
    <hyperlink ref="C26" location="'Operations Summary'!A1" display="OPERATIONS SUMMARY"/>
    <hyperlink ref="C27" location="Depreciation!A1" display="DEPRECIATION"/>
    <hyperlink ref="C28" location="'Return On Investment'!A1" display="RETURN ON INVESTMENT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75"/>
  <sheetViews>
    <sheetView showGridLines="0" showRowColHeaders="0" workbookViewId="0" topLeftCell="A1">
      <selection activeCell="D8" sqref="D8"/>
    </sheetView>
  </sheetViews>
  <sheetFormatPr defaultColWidth="9.140625" defaultRowHeight="12.75"/>
  <cols>
    <col min="1" max="1" width="1.7109375" style="39" customWidth="1"/>
    <col min="2" max="2" width="28.57421875" style="39" customWidth="1"/>
    <col min="3" max="3" width="15.00390625" style="39" bestFit="1" customWidth="1"/>
    <col min="4" max="4" width="11.8515625" style="39" bestFit="1" customWidth="1"/>
    <col min="5" max="7" width="11.28125" style="39" bestFit="1" customWidth="1"/>
    <col min="8" max="8" width="12.421875" style="39" customWidth="1"/>
    <col min="9" max="9" width="11.28125" style="39" bestFit="1" customWidth="1"/>
    <col min="10" max="10" width="11.28125" style="39" customWidth="1"/>
    <col min="11" max="14" width="11.28125" style="39" bestFit="1" customWidth="1"/>
    <col min="15" max="16384" width="9.140625" style="39" customWidth="1"/>
  </cols>
  <sheetData>
    <row r="1" ht="8.25" customHeight="1" thickBot="1"/>
    <row r="2" spans="2:3" ht="13.5" thickBot="1">
      <c r="B2" s="61" t="s">
        <v>253</v>
      </c>
      <c r="C2" s="168"/>
    </row>
    <row r="3" spans="2:3" ht="13.5" thickBot="1">
      <c r="B3" s="77" t="s">
        <v>252</v>
      </c>
      <c r="C3" s="168"/>
    </row>
    <row r="4" spans="2:3" ht="13.5" thickBot="1">
      <c r="B4" s="75" t="s">
        <v>255</v>
      </c>
      <c r="C4" s="169"/>
    </row>
    <row r="6" spans="2:3" ht="12.75">
      <c r="B6" s="119" t="s">
        <v>138</v>
      </c>
      <c r="C6" s="170"/>
    </row>
    <row r="7" spans="2:3" ht="12.75">
      <c r="B7" s="119" t="s">
        <v>321</v>
      </c>
      <c r="C7" s="170"/>
    </row>
    <row r="8" spans="2:3" ht="12.75">
      <c r="B8" s="119"/>
      <c r="C8" s="170"/>
    </row>
    <row r="9" spans="2:14" ht="12.75">
      <c r="B9" s="119" t="s">
        <v>58</v>
      </c>
      <c r="C9" s="244">
        <f>'Input Value'!F30</f>
        <v>0.12</v>
      </c>
      <c r="N9" s="129"/>
    </row>
    <row r="11" spans="2:14" ht="12.75">
      <c r="B11" s="155" t="s">
        <v>70</v>
      </c>
      <c r="D11" s="155">
        <v>0</v>
      </c>
      <c r="E11" s="155">
        <v>1</v>
      </c>
      <c r="F11" s="155">
        <v>2</v>
      </c>
      <c r="G11" s="155">
        <v>3</v>
      </c>
      <c r="H11" s="155">
        <v>4</v>
      </c>
      <c r="I11" s="155">
        <v>5</v>
      </c>
      <c r="J11" s="155">
        <v>6</v>
      </c>
      <c r="K11" s="155">
        <v>7</v>
      </c>
      <c r="L11" s="155">
        <v>8</v>
      </c>
      <c r="M11" s="155">
        <v>9</v>
      </c>
      <c r="N11" s="155">
        <v>10</v>
      </c>
    </row>
    <row r="12" spans="2:14" s="151" customFormat="1" ht="12.75">
      <c r="B12" s="171" t="s">
        <v>61</v>
      </c>
      <c r="E12" s="151">
        <f>'Market Projection'!D24</f>
        <v>1898400</v>
      </c>
      <c r="F12" s="151">
        <f>'Market Projection'!E24</f>
        <v>1917384</v>
      </c>
      <c r="G12" s="151">
        <f>'Market Projection'!F24</f>
        <v>1936557.8399999999</v>
      </c>
      <c r="H12" s="151">
        <f>'Market Projection'!G24</f>
        <v>1955923.4183999998</v>
      </c>
      <c r="I12" s="151">
        <f>'Market Projection'!H24</f>
        <v>1975482.652584</v>
      </c>
      <c r="J12" s="151">
        <f>'Market Projection'!I24</f>
        <v>1995237.47910984</v>
      </c>
      <c r="K12" s="151">
        <f>'Market Projection'!J24</f>
        <v>2015189.8539009383</v>
      </c>
      <c r="L12" s="151">
        <f>'Market Projection'!K24</f>
        <v>2035341.7524399478</v>
      </c>
      <c r="M12" s="151">
        <f>'Market Projection'!L24</f>
        <v>2055695.1699643473</v>
      </c>
      <c r="N12" s="151">
        <f>'Market Projection'!M24</f>
        <v>2076252.121663991</v>
      </c>
    </row>
    <row r="13" spans="2:14" s="173" customFormat="1" ht="12.75">
      <c r="B13" s="172" t="s">
        <v>62</v>
      </c>
      <c r="D13" s="173">
        <v>1</v>
      </c>
      <c r="E13" s="173">
        <f>1/((1+$C$9)^E11)</f>
        <v>0.8928571428571428</v>
      </c>
      <c r="F13" s="173">
        <f aca="true" t="shared" si="0" ref="F13:N13">1/((1+$C$9)^F11)</f>
        <v>0.7971938775510203</v>
      </c>
      <c r="G13" s="173">
        <f t="shared" si="0"/>
        <v>0.7117802478134109</v>
      </c>
      <c r="H13" s="173">
        <f t="shared" si="0"/>
        <v>0.6355180784048312</v>
      </c>
      <c r="I13" s="173">
        <f t="shared" si="0"/>
        <v>0.5674268557185992</v>
      </c>
      <c r="J13" s="173">
        <f t="shared" si="0"/>
        <v>0.5066311211773207</v>
      </c>
      <c r="K13" s="173">
        <f t="shared" si="0"/>
        <v>0.45234921533689343</v>
      </c>
      <c r="L13" s="173">
        <f t="shared" si="0"/>
        <v>0.4038832279793691</v>
      </c>
      <c r="M13" s="173">
        <f t="shared" si="0"/>
        <v>0.36061002498157957</v>
      </c>
      <c r="N13" s="173">
        <f t="shared" si="0"/>
        <v>0.321973236590696</v>
      </c>
    </row>
    <row r="14" spans="2:14" s="151" customFormat="1" ht="12.75">
      <c r="B14" s="171" t="s">
        <v>63</v>
      </c>
      <c r="C14" s="151">
        <f>SUM(D12:N12)</f>
        <v>19861464.288063068</v>
      </c>
      <c r="D14" s="151">
        <f>D12*D13</f>
        <v>0</v>
      </c>
      <c r="E14" s="151">
        <f>E12*E13</f>
        <v>1694999.9999999998</v>
      </c>
      <c r="F14" s="151">
        <f aca="true" t="shared" si="1" ref="F14:N14">F12*F13</f>
        <v>1528526.7857142857</v>
      </c>
      <c r="G14" s="151">
        <f t="shared" si="1"/>
        <v>1378403.6192602036</v>
      </c>
      <c r="H14" s="151">
        <f t="shared" si="1"/>
        <v>1243024.6923685765</v>
      </c>
      <c r="I14" s="151">
        <f t="shared" si="1"/>
        <v>1120941.910082377</v>
      </c>
      <c r="J14" s="151">
        <f t="shared" si="1"/>
        <v>1010849.4010564291</v>
      </c>
      <c r="K14" s="151">
        <f t="shared" si="1"/>
        <v>911569.5491669583</v>
      </c>
      <c r="L14" s="151">
        <f t="shared" si="1"/>
        <v>822040.397016632</v>
      </c>
      <c r="M14" s="151">
        <f t="shared" si="1"/>
        <v>741304.2865953557</v>
      </c>
      <c r="N14" s="151">
        <f t="shared" si="1"/>
        <v>668497.6155904547</v>
      </c>
    </row>
    <row r="16" spans="2:14" ht="12.75">
      <c r="B16" s="119" t="s">
        <v>64</v>
      </c>
      <c r="D16" s="151">
        <f>D19*D20</f>
        <v>1370000</v>
      </c>
      <c r="E16" s="151">
        <f>'Expense Projection'!D44</f>
        <v>1817691.555996581</v>
      </c>
      <c r="F16" s="151">
        <f>'Expense Projection'!D44</f>
        <v>1817691.555996581</v>
      </c>
      <c r="G16" s="151">
        <f>'Expense Projection'!E44</f>
        <v>1918883.6796972863</v>
      </c>
      <c r="H16" s="151">
        <f>'Expense Projection'!F44</f>
        <v>1868000.7878160998</v>
      </c>
      <c r="I16" s="151">
        <f>'Expense Projection'!G44</f>
        <v>1835333.6066857856</v>
      </c>
      <c r="J16" s="151">
        <f>'Expense Projection'!H44</f>
        <v>1815100.5961390787</v>
      </c>
      <c r="K16" s="151">
        <f>'Expense Projection'!I44</f>
        <v>1826500.1847614334</v>
      </c>
      <c r="L16" s="151">
        <f>'Expense Projection'!J44</f>
        <v>1798331.2965276293</v>
      </c>
      <c r="M16" s="151">
        <f>'Expense Projection'!K44</f>
        <v>1809217.118175927</v>
      </c>
      <c r="N16" s="151">
        <f>'Expense Projection'!L44</f>
        <v>1782405.8066249802</v>
      </c>
    </row>
    <row r="17" spans="2:14" ht="12.75">
      <c r="B17" s="119" t="s">
        <v>118</v>
      </c>
      <c r="D17" s="174"/>
      <c r="E17" s="151">
        <f>'Expense Projection'!D31+'Expense Projection'!D33</f>
        <v>264230.233774359</v>
      </c>
      <c r="F17" s="151">
        <f>'Expense Projection'!E31+'Expense Projection'!E33</f>
        <v>349887.7442528419</v>
      </c>
      <c r="G17" s="151">
        <f>'Expense Projection'!F31+'Expense Projection'!F33</f>
        <v>283314.8930172111</v>
      </c>
      <c r="H17" s="151">
        <f>'Expense Projection'!G31+'Expense Projection'!G33</f>
        <v>234800.85293890798</v>
      </c>
      <c r="I17" s="151">
        <f>'Expense Projection'!H31+'Expense Projection'!H33</f>
        <v>198562.51485473214</v>
      </c>
      <c r="J17" s="151">
        <f>'Expense Projection'!I31+'Expense Projection'!I33</f>
        <v>193796.72266424308</v>
      </c>
      <c r="K17" s="151">
        <f>'Expense Projection'!J31+'Expense Projection'!J33</f>
        <v>149300.79980946737</v>
      </c>
      <c r="L17" s="151">
        <f>'Expense Projection'!K31+'Expense Projection'!K33</f>
        <v>143696.31649058344</v>
      </c>
      <c r="M17" s="151">
        <f>'Expense Projection'!L31+'Expense Projection'!L33</f>
        <v>100229.79692278325</v>
      </c>
      <c r="N17" s="151">
        <f>'Expense Projection'!M31+'Expense Projection'!M33</f>
        <v>93753.11588739803</v>
      </c>
    </row>
    <row r="18" spans="4:14" ht="12.75"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2:14" ht="12.75">
      <c r="B19" s="119" t="s">
        <v>65</v>
      </c>
      <c r="D19" s="151">
        <f>Depreciation!D35</f>
        <v>1370000</v>
      </c>
      <c r="E19" s="151">
        <f>+E16-E17</f>
        <v>1553461.322222222</v>
      </c>
      <c r="F19" s="151">
        <f aca="true" t="shared" si="2" ref="F19:N19">+F16-F17</f>
        <v>1467803.811743739</v>
      </c>
      <c r="G19" s="151">
        <f t="shared" si="2"/>
        <v>1635568.7866800753</v>
      </c>
      <c r="H19" s="151">
        <f t="shared" si="2"/>
        <v>1633199.934877192</v>
      </c>
      <c r="I19" s="151">
        <f t="shared" si="2"/>
        <v>1636771.0918310534</v>
      </c>
      <c r="J19" s="151">
        <f t="shared" si="2"/>
        <v>1621303.8734748357</v>
      </c>
      <c r="K19" s="151">
        <f t="shared" si="2"/>
        <v>1677199.384951966</v>
      </c>
      <c r="L19" s="151">
        <f t="shared" si="2"/>
        <v>1654634.980037046</v>
      </c>
      <c r="M19" s="151">
        <f t="shared" si="2"/>
        <v>1708987.3212531437</v>
      </c>
      <c r="N19" s="151">
        <f t="shared" si="2"/>
        <v>1688652.690737582</v>
      </c>
    </row>
    <row r="20" spans="2:14" ht="12.75">
      <c r="B20" s="119" t="s">
        <v>62</v>
      </c>
      <c r="D20" s="173">
        <v>1</v>
      </c>
      <c r="E20" s="173">
        <f aca="true" t="shared" si="3" ref="E20:N20">E13</f>
        <v>0.8928571428571428</v>
      </c>
      <c r="F20" s="173">
        <f t="shared" si="3"/>
        <v>0.7971938775510203</v>
      </c>
      <c r="G20" s="173">
        <f t="shared" si="3"/>
        <v>0.7117802478134109</v>
      </c>
      <c r="H20" s="173">
        <f t="shared" si="3"/>
        <v>0.6355180784048312</v>
      </c>
      <c r="I20" s="173">
        <f t="shared" si="3"/>
        <v>0.5674268557185992</v>
      </c>
      <c r="J20" s="173">
        <f t="shared" si="3"/>
        <v>0.5066311211773207</v>
      </c>
      <c r="K20" s="173">
        <f t="shared" si="3"/>
        <v>0.45234921533689343</v>
      </c>
      <c r="L20" s="173">
        <f t="shared" si="3"/>
        <v>0.4038832279793691</v>
      </c>
      <c r="M20" s="173">
        <f t="shared" si="3"/>
        <v>0.36061002498157957</v>
      </c>
      <c r="N20" s="173">
        <f t="shared" si="3"/>
        <v>0.321973236590696</v>
      </c>
    </row>
    <row r="21" spans="2:14" ht="12.75">
      <c r="B21" s="119" t="s">
        <v>66</v>
      </c>
      <c r="C21" s="151">
        <f>SUM(D19:N19)</f>
        <v>17647583.197808854</v>
      </c>
      <c r="D21" s="151">
        <f aca="true" t="shared" si="4" ref="D21:N21">D19*D20</f>
        <v>1370000</v>
      </c>
      <c r="E21" s="151">
        <f t="shared" si="4"/>
        <v>1387019.0376984125</v>
      </c>
      <c r="F21" s="151">
        <f t="shared" si="4"/>
        <v>1170124.2121681592</v>
      </c>
      <c r="G21" s="151">
        <f t="shared" si="4"/>
        <v>1164165.5562990238</v>
      </c>
      <c r="H21" s="151">
        <f t="shared" si="4"/>
        <v>1037928.0842640485</v>
      </c>
      <c r="I21" s="151">
        <f t="shared" si="4"/>
        <v>928747.8741687932</v>
      </c>
      <c r="J21" s="151">
        <f t="shared" si="4"/>
        <v>821402.9991876888</v>
      </c>
      <c r="K21" s="151">
        <f t="shared" si="4"/>
        <v>758679.8257465422</v>
      </c>
      <c r="L21" s="151">
        <f t="shared" si="4"/>
        <v>668279.316864941</v>
      </c>
      <c r="M21" s="151">
        <f t="shared" si="4"/>
        <v>616277.9606102989</v>
      </c>
      <c r="N21" s="151">
        <f t="shared" si="4"/>
        <v>543700.9723143668</v>
      </c>
    </row>
    <row r="22" spans="3:14" ht="12.75"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2:14" ht="12.75">
      <c r="B23" s="119" t="s">
        <v>67</v>
      </c>
      <c r="C23" s="151"/>
      <c r="D23" s="151">
        <f aca="true" t="shared" si="5" ref="D23:N23">D12-D19</f>
        <v>-1370000</v>
      </c>
      <c r="E23" s="151">
        <f t="shared" si="5"/>
        <v>344938.6777777779</v>
      </c>
      <c r="F23" s="151">
        <f t="shared" si="5"/>
        <v>449580.18825626094</v>
      </c>
      <c r="G23" s="151">
        <f t="shared" si="5"/>
        <v>300989.0533199245</v>
      </c>
      <c r="H23" s="151">
        <f t="shared" si="5"/>
        <v>322723.48352280795</v>
      </c>
      <c r="I23" s="151">
        <f t="shared" si="5"/>
        <v>338711.56075294665</v>
      </c>
      <c r="J23" s="151">
        <f t="shared" si="5"/>
        <v>373933.60563500435</v>
      </c>
      <c r="K23" s="151">
        <f t="shared" si="5"/>
        <v>337990.4689489722</v>
      </c>
      <c r="L23" s="151">
        <f t="shared" si="5"/>
        <v>380706.7724029019</v>
      </c>
      <c r="M23" s="151">
        <f t="shared" si="5"/>
        <v>346707.84871120355</v>
      </c>
      <c r="N23" s="151">
        <f t="shared" si="5"/>
        <v>387599.43092640885</v>
      </c>
    </row>
    <row r="24" spans="2:14" ht="12.75">
      <c r="B24" s="119" t="s">
        <v>120</v>
      </c>
      <c r="C24" s="151"/>
      <c r="D24" s="151">
        <f>+D14-D21</f>
        <v>-1370000</v>
      </c>
      <c r="E24" s="151">
        <f aca="true" t="shared" si="6" ref="E24:N24">+E14-E21</f>
        <v>307980.9623015872</v>
      </c>
      <c r="F24" s="151">
        <f t="shared" si="6"/>
        <v>358402.5735461265</v>
      </c>
      <c r="G24" s="151">
        <f t="shared" si="6"/>
        <v>214238.06296117976</v>
      </c>
      <c r="H24" s="151">
        <f t="shared" si="6"/>
        <v>205096.60810452804</v>
      </c>
      <c r="I24" s="151">
        <f t="shared" si="6"/>
        <v>192194.03591358382</v>
      </c>
      <c r="J24" s="151">
        <f t="shared" si="6"/>
        <v>189446.40186874033</v>
      </c>
      <c r="K24" s="151">
        <f t="shared" si="6"/>
        <v>152889.72342041612</v>
      </c>
      <c r="L24" s="151">
        <f t="shared" si="6"/>
        <v>153761.08015169099</v>
      </c>
      <c r="M24" s="151">
        <f t="shared" si="6"/>
        <v>125026.32598505681</v>
      </c>
      <c r="N24" s="151">
        <f t="shared" si="6"/>
        <v>124796.64327608782</v>
      </c>
    </row>
    <row r="25" spans="1:14" ht="13.5" thickBo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2:3" ht="12.75">
      <c r="B26" s="119" t="s">
        <v>117</v>
      </c>
      <c r="C26" s="175">
        <f>SUM(D14:N14)</f>
        <v>11120158.256851273</v>
      </c>
    </row>
    <row r="27" spans="2:14" ht="12.75">
      <c r="B27" s="119" t="s">
        <v>119</v>
      </c>
      <c r="C27" s="175">
        <f>SUM(D21:N21)</f>
        <v>10466325.839322275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2:3" ht="12.75">
      <c r="B28" s="119" t="s">
        <v>68</v>
      </c>
      <c r="C28" s="176">
        <f>C26-C27</f>
        <v>653832.4175289981</v>
      </c>
    </row>
    <row r="29" spans="2:3" ht="12.75">
      <c r="B29" s="119" t="s">
        <v>69</v>
      </c>
      <c r="C29" s="177">
        <f>IRR(D23:N23)</f>
        <v>0.22846345387817893</v>
      </c>
    </row>
    <row r="30" spans="2:3" ht="12.75">
      <c r="B30" s="119" t="s">
        <v>139</v>
      </c>
      <c r="C30" s="206">
        <f>C26/C27</f>
        <v>1.0624700995904917</v>
      </c>
    </row>
    <row r="31" spans="1:14" ht="12.75">
      <c r="A31" s="47"/>
      <c r="B31" s="95" t="s">
        <v>308</v>
      </c>
      <c r="C31" s="207">
        <f>IF(MIN(C74:L74)&gt;0,(MIN(C74:L74)),"")</f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</row>
    <row r="32" spans="1:14" ht="12.75">
      <c r="A32" s="209"/>
      <c r="B32" s="211" t="s">
        <v>311</v>
      </c>
      <c r="C32" s="209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</row>
    <row r="33" spans="4:14" ht="12.75"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2:14" ht="12.75">
      <c r="B34" s="98" t="s">
        <v>166</v>
      </c>
      <c r="D34" s="178">
        <f>'Operations Summary'!C26/('Input Value'!$C$7)</f>
        <v>0</v>
      </c>
      <c r="E34" s="178">
        <f>'Operations Summary'!D26/('Input Value'!$C$7)</f>
        <v>0.023564509198078547</v>
      </c>
      <c r="F34" s="178">
        <f>'Operations Summary'!E26/('Input Value'!$C$7)</f>
        <v>-0.0004378626853390767</v>
      </c>
      <c r="G34" s="178">
        <f>'Operations Summary'!F26/('Input Value'!$C$7)</f>
        <v>0.020016657571941616</v>
      </c>
      <c r="H34" s="178">
        <f>'Operations Summary'!G26/('Input Value'!$C$7)</f>
        <v>0.03520870415013555</v>
      </c>
      <c r="I34" s="178">
        <f>'Operations Summary'!H26/('Input Value'!$C$7)</f>
        <v>0.046826877794137606</v>
      </c>
      <c r="J34" s="178">
        <f>'Operations Summary'!I26/('Input Value'!$C$7)</f>
        <v>0.049266363313403394</v>
      </c>
      <c r="K34" s="178">
        <f>'Operations Summary'!J26/('Input Value'!$C$7)</f>
        <v>0.06331636711629461</v>
      </c>
      <c r="L34" s="178">
        <f>'Operations Summary'!K26/('Input Value'!$C$7)</f>
        <v>0.06602179102599146</v>
      </c>
      <c r="M34" s="178">
        <f>'Operations Summary'!L26/('Input Value'!$C$7)</f>
        <v>0.07979251484361084</v>
      </c>
      <c r="N34" s="178">
        <f>'Operations Summary'!M26/('Input Value'!$C$7)</f>
        <v>0.08277408349704345</v>
      </c>
    </row>
    <row r="35" ht="12.75">
      <c r="B35" s="179" t="s">
        <v>231</v>
      </c>
    </row>
    <row r="37" spans="1:14" ht="13.5" thickBo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9" spans="3:6" ht="13.5" thickBot="1">
      <c r="C39" s="180" t="s">
        <v>233</v>
      </c>
      <c r="D39" s="180" t="s">
        <v>234</v>
      </c>
      <c r="E39" s="180" t="s">
        <v>235</v>
      </c>
      <c r="F39" s="180" t="s">
        <v>153</v>
      </c>
    </row>
    <row r="40" spans="2:10" ht="13.5" thickTop="1">
      <c r="B40" s="184" t="s">
        <v>236</v>
      </c>
      <c r="C40" s="204" t="s">
        <v>312</v>
      </c>
      <c r="D40" s="86"/>
      <c r="E40" s="83"/>
      <c r="G40" s="219" t="s">
        <v>298</v>
      </c>
      <c r="H40" s="220" t="s">
        <v>233</v>
      </c>
      <c r="I40" s="220" t="s">
        <v>234</v>
      </c>
      <c r="J40" s="221" t="s">
        <v>235</v>
      </c>
    </row>
    <row r="41" spans="2:10" ht="12.75">
      <c r="B41" s="185">
        <v>2.5</v>
      </c>
      <c r="C41" s="186">
        <v>692426.36</v>
      </c>
      <c r="D41" s="187">
        <v>0.2344</v>
      </c>
      <c r="E41" s="188">
        <v>1.0664</v>
      </c>
      <c r="G41" s="222" t="s">
        <v>297</v>
      </c>
      <c r="H41" s="47"/>
      <c r="I41" s="47"/>
      <c r="J41" s="81"/>
    </row>
    <row r="42" spans="2:10" ht="12.75">
      <c r="B42" s="213">
        <v>3</v>
      </c>
      <c r="C42" s="186">
        <v>653832.42</v>
      </c>
      <c r="D42" s="187">
        <v>0.2285</v>
      </c>
      <c r="E42" s="188">
        <v>1.0625</v>
      </c>
      <c r="G42" s="222" t="s">
        <v>309</v>
      </c>
      <c r="H42" s="235">
        <v>-2498154.04</v>
      </c>
      <c r="I42" s="236" t="s">
        <v>161</v>
      </c>
      <c r="J42" s="237">
        <v>0.7027</v>
      </c>
    </row>
    <row r="43" spans="2:10" ht="12.75">
      <c r="B43" s="185">
        <v>3.5</v>
      </c>
      <c r="C43" s="186">
        <v>615238.48</v>
      </c>
      <c r="D43" s="187">
        <v>0.2225</v>
      </c>
      <c r="E43" s="188">
        <v>1.0586</v>
      </c>
      <c r="G43" s="222" t="s">
        <v>304</v>
      </c>
      <c r="H43" s="235">
        <v>-1948091.33</v>
      </c>
      <c r="I43" s="236" t="s">
        <v>161</v>
      </c>
      <c r="J43" s="237">
        <v>0.7795</v>
      </c>
    </row>
    <row r="44" spans="2:10" ht="13.5" thickBot="1">
      <c r="B44" s="189">
        <v>4</v>
      </c>
      <c r="C44" s="190">
        <v>576644.54</v>
      </c>
      <c r="D44" s="191">
        <v>0.2164</v>
      </c>
      <c r="E44" s="192">
        <v>1.0547</v>
      </c>
      <c r="G44" s="222" t="s">
        <v>303</v>
      </c>
      <c r="H44" s="235">
        <v>-1398028.61</v>
      </c>
      <c r="I44" s="236" t="s">
        <v>161</v>
      </c>
      <c r="J44" s="237">
        <v>0.8492</v>
      </c>
    </row>
    <row r="45" spans="2:10" ht="12.75">
      <c r="B45" s="89" t="s">
        <v>272</v>
      </c>
      <c r="C45" s="199" t="s">
        <v>313</v>
      </c>
      <c r="D45" s="200"/>
      <c r="E45" s="201"/>
      <c r="G45" s="222" t="s">
        <v>302</v>
      </c>
      <c r="H45" s="235">
        <v>-847965.9</v>
      </c>
      <c r="I45" s="238">
        <v>-0.0713</v>
      </c>
      <c r="J45" s="237">
        <v>0.9126</v>
      </c>
    </row>
    <row r="46" spans="2:10" ht="12.75">
      <c r="B46" s="185">
        <v>30</v>
      </c>
      <c r="C46" s="193">
        <v>952548.93</v>
      </c>
      <c r="D46" s="194">
        <v>0.2738</v>
      </c>
      <c r="E46" s="188">
        <v>1.0937</v>
      </c>
      <c r="F46" s="39" t="s">
        <v>153</v>
      </c>
      <c r="G46" s="222" t="s">
        <v>301</v>
      </c>
      <c r="H46" s="235">
        <v>-297903.18</v>
      </c>
      <c r="I46" s="238">
        <v>0.0632</v>
      </c>
      <c r="J46" s="237">
        <v>0.9706</v>
      </c>
    </row>
    <row r="47" spans="2:10" ht="12.75">
      <c r="B47" s="213">
        <v>40</v>
      </c>
      <c r="C47" s="186">
        <v>653832.42</v>
      </c>
      <c r="D47" s="187">
        <v>0.2285</v>
      </c>
      <c r="E47" s="188">
        <v>1.0625</v>
      </c>
      <c r="G47" s="80" t="s">
        <v>299</v>
      </c>
      <c r="H47" s="235">
        <v>252159.53</v>
      </c>
      <c r="I47" s="238">
        <v>0.1638</v>
      </c>
      <c r="J47" s="237">
        <v>1.0238</v>
      </c>
    </row>
    <row r="48" spans="2:10" ht="12.75">
      <c r="B48" s="185">
        <v>50</v>
      </c>
      <c r="C48" s="186">
        <v>355115.91</v>
      </c>
      <c r="D48" s="187">
        <v>0.1809</v>
      </c>
      <c r="E48" s="188">
        <v>1.033</v>
      </c>
      <c r="G48" s="223" t="s">
        <v>305</v>
      </c>
      <c r="H48" s="235">
        <v>653832.42</v>
      </c>
      <c r="I48" s="238">
        <v>0.2285</v>
      </c>
      <c r="J48" s="237">
        <v>1.0625</v>
      </c>
    </row>
    <row r="49" spans="2:10" ht="13.5" thickBot="1">
      <c r="B49" s="189">
        <v>60</v>
      </c>
      <c r="C49" s="190">
        <v>56399.4</v>
      </c>
      <c r="D49" s="191">
        <v>0.1301</v>
      </c>
      <c r="E49" s="192">
        <v>1.0051</v>
      </c>
      <c r="G49" s="224" t="s">
        <v>300</v>
      </c>
      <c r="H49" s="239">
        <v>768400.49</v>
      </c>
      <c r="I49" s="240">
        <v>0.2461</v>
      </c>
      <c r="J49" s="241">
        <v>1.0764</v>
      </c>
    </row>
    <row r="50" spans="2:10" ht="12.75">
      <c r="B50" s="184" t="s">
        <v>273</v>
      </c>
      <c r="C50" s="205" t="s">
        <v>317</v>
      </c>
      <c r="D50" s="202"/>
      <c r="E50" s="203"/>
      <c r="G50" s="39" t="s">
        <v>296</v>
      </c>
      <c r="H50" s="79"/>
      <c r="I50" s="79"/>
      <c r="J50" s="79"/>
    </row>
    <row r="51" spans="2:10" ht="13.5" thickBot="1">
      <c r="B51" s="195">
        <v>30</v>
      </c>
      <c r="C51" s="186">
        <v>1168418.28</v>
      </c>
      <c r="D51" s="187">
        <v>0.3054</v>
      </c>
      <c r="E51" s="188">
        <v>1.1174</v>
      </c>
      <c r="G51" s="79"/>
      <c r="H51" s="79"/>
      <c r="I51" s="79"/>
      <c r="J51" s="79"/>
    </row>
    <row r="52" spans="2:10" ht="12.75">
      <c r="B52" s="213">
        <v>40</v>
      </c>
      <c r="C52" s="186">
        <v>653832.42</v>
      </c>
      <c r="D52" s="187">
        <v>0.2285</v>
      </c>
      <c r="E52" s="188">
        <v>1.0625</v>
      </c>
      <c r="G52" s="214" t="s">
        <v>315</v>
      </c>
      <c r="H52" s="215" t="s">
        <v>233</v>
      </c>
      <c r="I52" s="106" t="s">
        <v>235</v>
      </c>
      <c r="J52" s="79"/>
    </row>
    <row r="53" spans="2:10" ht="12.75">
      <c r="B53" s="195">
        <v>50</v>
      </c>
      <c r="C53" s="186">
        <v>139246.56</v>
      </c>
      <c r="D53" s="187">
        <v>0.1446</v>
      </c>
      <c r="E53" s="188">
        <v>1.0127</v>
      </c>
      <c r="G53" s="216">
        <v>0.08</v>
      </c>
      <c r="H53" s="242">
        <v>1033011.4109534733</v>
      </c>
      <c r="I53" s="188">
        <v>1.0845972188011095</v>
      </c>
      <c r="J53" s="79"/>
    </row>
    <row r="54" spans="2:10" ht="13.5" thickBot="1">
      <c r="B54" s="196">
        <v>60</v>
      </c>
      <c r="C54" s="190">
        <v>-375339.3</v>
      </c>
      <c r="D54" s="191">
        <v>0.0473</v>
      </c>
      <c r="E54" s="192">
        <v>0.9673</v>
      </c>
      <c r="G54" s="216">
        <v>0.1</v>
      </c>
      <c r="H54" s="242">
        <v>830604.9099580664</v>
      </c>
      <c r="I54" s="188">
        <v>1.0736384051278</v>
      </c>
      <c r="J54" s="79"/>
    </row>
    <row r="55" spans="2:10" ht="12.75">
      <c r="B55" s="184" t="s">
        <v>237</v>
      </c>
      <c r="C55" s="205" t="s">
        <v>316</v>
      </c>
      <c r="D55" s="202"/>
      <c r="E55" s="203"/>
      <c r="G55" s="217">
        <v>0.12</v>
      </c>
      <c r="H55" s="242">
        <v>653832.4175289981</v>
      </c>
      <c r="I55" s="188">
        <v>1.0624700995904917</v>
      </c>
      <c r="J55" s="79"/>
    </row>
    <row r="56" spans="2:10" ht="12.75">
      <c r="B56" s="185">
        <v>95</v>
      </c>
      <c r="C56" s="186">
        <v>-405230.27</v>
      </c>
      <c r="D56" s="187">
        <v>0.0409</v>
      </c>
      <c r="E56" s="188">
        <v>0.9613</v>
      </c>
      <c r="G56" s="216">
        <v>0.14</v>
      </c>
      <c r="H56" s="242">
        <v>498729.45926786587</v>
      </c>
      <c r="I56" s="188">
        <v>1.0511352610728912</v>
      </c>
      <c r="J56" s="79"/>
    </row>
    <row r="57" spans="2:9" ht="13.5" thickBot="1">
      <c r="B57" s="185">
        <v>100</v>
      </c>
      <c r="C57" s="193">
        <v>124301.07</v>
      </c>
      <c r="D57" s="187">
        <v>0.142</v>
      </c>
      <c r="E57" s="188">
        <v>1.0119</v>
      </c>
      <c r="G57" s="218">
        <v>0.16</v>
      </c>
      <c r="H57" s="243">
        <v>362030.19821643643</v>
      </c>
      <c r="I57" s="192">
        <v>1.0396749296848988</v>
      </c>
    </row>
    <row r="58" spans="2:7" ht="12.75">
      <c r="B58" s="213">
        <v>105</v>
      </c>
      <c r="C58" s="193">
        <v>653832.42</v>
      </c>
      <c r="D58" s="187">
        <v>0.2285</v>
      </c>
      <c r="E58" s="188">
        <v>1.0625</v>
      </c>
      <c r="G58" s="39" t="s">
        <v>320</v>
      </c>
    </row>
    <row r="59" spans="2:5" ht="12.75">
      <c r="B59" s="185">
        <v>110</v>
      </c>
      <c r="C59" s="193">
        <v>1183363.76</v>
      </c>
      <c r="D59" s="187">
        <v>0.3075</v>
      </c>
      <c r="E59" s="188">
        <v>1.1131</v>
      </c>
    </row>
    <row r="60" spans="2:5" ht="13.5" thickBot="1">
      <c r="B60" s="189">
        <v>115</v>
      </c>
      <c r="C60" s="197">
        <v>1712895.11</v>
      </c>
      <c r="D60" s="198">
        <v>0.3823</v>
      </c>
      <c r="E60" s="192">
        <v>1.1637</v>
      </c>
    </row>
    <row r="62" spans="2:5" ht="12.75">
      <c r="B62" s="145" t="s">
        <v>262</v>
      </c>
      <c r="E62" s="39" t="s">
        <v>314</v>
      </c>
    </row>
    <row r="63" spans="2:3" ht="12.75">
      <c r="B63" s="212">
        <v>3</v>
      </c>
      <c r="C63" s="39" t="s">
        <v>263</v>
      </c>
    </row>
    <row r="64" spans="2:3" ht="12.75">
      <c r="B64" s="147">
        <v>40</v>
      </c>
      <c r="C64" s="39" t="s">
        <v>264</v>
      </c>
    </row>
    <row r="65" spans="2:3" ht="12.75">
      <c r="B65" s="147">
        <v>105</v>
      </c>
      <c r="C65" s="39" t="s">
        <v>237</v>
      </c>
    </row>
    <row r="66" spans="2:3" ht="12.75">
      <c r="B66" s="119">
        <v>5.6</v>
      </c>
      <c r="C66" s="39" t="s">
        <v>318</v>
      </c>
    </row>
    <row r="67" spans="2:3" ht="12.75">
      <c r="B67" s="119">
        <v>5.7</v>
      </c>
      <c r="C67" s="39" t="s">
        <v>319</v>
      </c>
    </row>
    <row r="68" spans="2:3" ht="12.75">
      <c r="B68" s="170">
        <v>1</v>
      </c>
      <c r="C68" s="39" t="s">
        <v>265</v>
      </c>
    </row>
    <row r="69" spans="2:3" ht="12.75">
      <c r="B69" s="170">
        <v>0.12</v>
      </c>
      <c r="C69" s="39" t="s">
        <v>58</v>
      </c>
    </row>
    <row r="70" ht="12.75">
      <c r="B70" s="119"/>
    </row>
    <row r="71" ht="12.75">
      <c r="B71" s="119"/>
    </row>
    <row r="75" spans="2:15" ht="12.75">
      <c r="B75" s="39" t="s">
        <v>310</v>
      </c>
      <c r="C75" s="39">
        <f>IF(SUM('Operations Summary'!$D33:D33)&gt;'Input Value'!$C$7,1,"")</f>
      </c>
      <c r="D75" s="39">
        <f>IF(SUM('Operations Summary'!$D33:E33)&gt;'Input Value'!$C$7,2,"")</f>
      </c>
      <c r="E75" s="39">
        <f>IF(SUM('Operations Summary'!$D33:F33)&gt;'Input Value'!$C$7,3,"")</f>
      </c>
      <c r="F75" s="39">
        <f>IF(SUM('Operations Summary'!$D33:G33)&gt;'Input Value'!$C$7,4,"")</f>
      </c>
      <c r="G75" s="39">
        <f>IF(SUM('Operations Summary'!$D33:H33)&gt;'Input Value'!$C$7,5,"")</f>
      </c>
      <c r="H75" s="39">
        <f>IF(SUM('Operations Summary'!$D33:I33)&gt;'Input Value'!$C$7,6,"")</f>
      </c>
      <c r="I75" s="39">
        <f>IF(SUM('Operations Summary'!$D33:J33)&gt;'Input Value'!$C$7,7,"")</f>
      </c>
      <c r="J75" s="39">
        <f>IF(SUM('Operations Summary'!$D33:K33)&gt;'Input Value'!$C$7,8,"")</f>
      </c>
      <c r="K75" s="39">
        <f>IF(SUM('Operations Summary'!$D33:L33)&gt;'Input Value'!$C$7,9,"")</f>
      </c>
      <c r="L75" s="39">
        <f>IF(SUM('Operations Summary'!$D33:M33)&gt;'Input Value'!$C$7,10,"")</f>
      </c>
      <c r="M75" s="39">
        <f>IF(SUM('Operations Summary'!$D33:N33)&gt;'Input Value'!$C$7,1,"")</f>
      </c>
      <c r="N75" s="39">
        <f>IF(SUM('Operations Summary'!$D33:O33)&gt;'Input Value'!$C$7,1,"")</f>
      </c>
      <c r="O75" s="39">
        <f>IF(SUM('Operations Summary'!$D33:P33)&gt;'Input Value'!$C$7,1,"")</f>
      </c>
    </row>
  </sheetData>
  <sheetProtection sheet="1" objects="1" scenarios="1"/>
  <hyperlinks>
    <hyperlink ref="B3" location="'Input Value'!A1" display="BACK TO INPUTS"/>
    <hyperlink ref="B4" location="'Return On Investment'!A1" display="FORWARD TO RESULTS"/>
    <hyperlink ref="B4:C4" location="Introduction!A1" display="BACK TO INTRODUCTION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3500"/>
  <sheetViews>
    <sheetView showGridLines="0" showRowColHeaders="0" tabSelected="1" zoomScale="92" zoomScaleNormal="92" workbookViewId="0" topLeftCell="A1">
      <selection activeCell="I33" sqref="I33"/>
    </sheetView>
  </sheetViews>
  <sheetFormatPr defaultColWidth="9.140625" defaultRowHeight="12.75"/>
  <cols>
    <col min="1" max="1" width="1.8515625" style="39" customWidth="1"/>
    <col min="2" max="2" width="31.421875" style="39" customWidth="1"/>
    <col min="3" max="3" width="13.00390625" style="39" bestFit="1" customWidth="1"/>
    <col min="4" max="4" width="3.28125" style="79" customWidth="1"/>
    <col min="5" max="5" width="31.57421875" style="79" customWidth="1"/>
    <col min="6" max="6" width="12.8515625" style="79" bestFit="1" customWidth="1"/>
    <col min="7" max="7" width="2.8515625" style="39" customWidth="1"/>
    <col min="8" max="8" width="16.421875" style="39" customWidth="1"/>
    <col min="9" max="9" width="14.140625" style="80" bestFit="1" customWidth="1"/>
    <col min="10" max="10" width="15.00390625" style="39" bestFit="1" customWidth="1"/>
    <col min="11" max="11" width="9.00390625" style="39" customWidth="1"/>
    <col min="12" max="12" width="9.140625" style="39" customWidth="1"/>
    <col min="13" max="13" width="9.140625" style="80" customWidth="1"/>
    <col min="14" max="14" width="23.28125" style="39" bestFit="1" customWidth="1"/>
    <col min="15" max="15" width="11.7109375" style="39" bestFit="1" customWidth="1"/>
    <col min="16" max="16" width="9.140625" style="39" customWidth="1"/>
    <col min="17" max="17" width="9.140625" style="80" customWidth="1"/>
    <col min="18" max="18" width="19.57421875" style="39" bestFit="1" customWidth="1"/>
    <col min="19" max="19" width="15.28125" style="39" customWidth="1"/>
    <col min="20" max="20" width="12.00390625" style="39" customWidth="1"/>
    <col min="21" max="21" width="12.140625" style="39" customWidth="1"/>
    <col min="22" max="22" width="9.140625" style="39" customWidth="1"/>
    <col min="23" max="23" width="9.140625" style="80" customWidth="1"/>
    <col min="24" max="24" width="40.140625" style="39" bestFit="1" customWidth="1"/>
    <col min="25" max="25" width="11.7109375" style="39" bestFit="1" customWidth="1"/>
    <col min="26" max="26" width="9.140625" style="81" customWidth="1"/>
    <col min="27" max="27" width="9.140625" style="39" customWidth="1"/>
    <col min="28" max="28" width="15.8515625" style="39" customWidth="1"/>
    <col min="29" max="29" width="16.140625" style="39" customWidth="1"/>
    <col min="30" max="30" width="9.140625" style="39" customWidth="1"/>
    <col min="31" max="31" width="9.140625" style="81" customWidth="1"/>
    <col min="32" max="32" width="9.140625" style="39" customWidth="1"/>
    <col min="33" max="33" width="20.8515625" style="39" bestFit="1" customWidth="1"/>
    <col min="34" max="16384" width="9.140625" style="39" customWidth="1"/>
  </cols>
  <sheetData>
    <row r="1" spans="9:17" ht="5.25" customHeight="1" thickBot="1">
      <c r="I1" s="47"/>
      <c r="M1" s="47"/>
      <c r="Q1" s="47"/>
    </row>
    <row r="2" spans="2:17" ht="12.75">
      <c r="B2" s="82" t="s">
        <v>143</v>
      </c>
      <c r="C2" s="257"/>
      <c r="D2" s="181"/>
      <c r="E2" s="59" t="s">
        <v>238</v>
      </c>
      <c r="F2" s="258"/>
      <c r="G2" s="102"/>
      <c r="H2" s="85" t="s">
        <v>218</v>
      </c>
      <c r="I2" s="259"/>
      <c r="J2" s="259"/>
      <c r="K2" s="257"/>
      <c r="L2" s="161"/>
      <c r="M2" s="102"/>
      <c r="Q2" s="47"/>
    </row>
    <row r="3" spans="2:17" ht="13.5" thickBot="1">
      <c r="B3" s="87" t="s">
        <v>144</v>
      </c>
      <c r="C3" s="260"/>
      <c r="D3" s="181"/>
      <c r="E3" s="78" t="s">
        <v>278</v>
      </c>
      <c r="F3" s="261">
        <v>5.6</v>
      </c>
      <c r="G3" s="102"/>
      <c r="H3" s="88" t="s">
        <v>219</v>
      </c>
      <c r="I3" s="102"/>
      <c r="J3" s="102"/>
      <c r="K3" s="260"/>
      <c r="L3" s="161"/>
      <c r="M3" s="102"/>
      <c r="Q3" s="47"/>
    </row>
    <row r="4" spans="2:31" ht="12.75">
      <c r="B4" s="101" t="s">
        <v>17</v>
      </c>
      <c r="C4" s="262">
        <v>0.5</v>
      </c>
      <c r="D4" s="263"/>
      <c r="E4" s="78" t="s">
        <v>279</v>
      </c>
      <c r="F4" s="261">
        <v>5.7</v>
      </c>
      <c r="G4" s="161"/>
      <c r="H4" s="82" t="s">
        <v>109</v>
      </c>
      <c r="I4" s="91" t="s">
        <v>152</v>
      </c>
      <c r="J4" s="92" t="s">
        <v>109</v>
      </c>
      <c r="K4" s="91" t="s">
        <v>154</v>
      </c>
      <c r="L4" s="102"/>
      <c r="M4" s="161"/>
      <c r="P4" s="47"/>
      <c r="Q4" s="39"/>
      <c r="V4" s="80"/>
      <c r="W4" s="39"/>
      <c r="Y4" s="81"/>
      <c r="Z4" s="39"/>
      <c r="AD4" s="81"/>
      <c r="AE4" s="39"/>
    </row>
    <row r="5" spans="2:31" ht="12.75">
      <c r="B5" s="101" t="s">
        <v>16</v>
      </c>
      <c r="C5" s="264">
        <v>0.075</v>
      </c>
      <c r="D5" s="265"/>
      <c r="E5" s="110" t="s">
        <v>280</v>
      </c>
      <c r="F5" s="266">
        <v>200</v>
      </c>
      <c r="G5" s="161"/>
      <c r="H5" s="94" t="s">
        <v>10</v>
      </c>
      <c r="I5" s="267" t="s">
        <v>155</v>
      </c>
      <c r="J5" s="95" t="str">
        <f>H5</f>
        <v>Units</v>
      </c>
      <c r="K5" s="267" t="s">
        <v>155</v>
      </c>
      <c r="L5" s="102"/>
      <c r="M5" s="161"/>
      <c r="P5" s="47"/>
      <c r="Q5" s="39"/>
      <c r="V5" s="80"/>
      <c r="W5" s="39"/>
      <c r="Y5" s="81"/>
      <c r="Z5" s="39"/>
      <c r="AD5" s="81"/>
      <c r="AE5" s="39"/>
    </row>
    <row r="6" spans="2:31" ht="12.75">
      <c r="B6" s="101" t="s">
        <v>15</v>
      </c>
      <c r="C6" s="261">
        <v>10</v>
      </c>
      <c r="D6" s="181"/>
      <c r="E6" s="78" t="s">
        <v>281</v>
      </c>
      <c r="F6" s="260">
        <f>(F3+F4)*F5</f>
        <v>2260</v>
      </c>
      <c r="G6" s="161"/>
      <c r="H6" s="94" t="s">
        <v>106</v>
      </c>
      <c r="I6" s="268">
        <f>'Input Value'!F9*('Input Value'!F10)</f>
        <v>18080</v>
      </c>
      <c r="J6" s="95" t="str">
        <f>H6</f>
        <v>Initial Volume</v>
      </c>
      <c r="K6" s="268">
        <f>'Input Value'!F9*(1-'Input Value'!F10)</f>
        <v>0</v>
      </c>
      <c r="L6" s="102"/>
      <c r="M6" s="161"/>
      <c r="P6" s="47"/>
      <c r="Q6" s="39"/>
      <c r="V6" s="80"/>
      <c r="W6" s="39"/>
      <c r="Y6" s="81"/>
      <c r="Z6" s="39"/>
      <c r="AD6" s="81"/>
      <c r="AE6" s="39"/>
    </row>
    <row r="7" spans="2:31" ht="12.75">
      <c r="B7" s="101" t="s">
        <v>102</v>
      </c>
      <c r="C7" s="269">
        <f>Depreciation!D35</f>
        <v>1370000</v>
      </c>
      <c r="D7" s="270"/>
      <c r="E7" s="78" t="s">
        <v>282</v>
      </c>
      <c r="F7" s="266">
        <f>(F3*F5)*(F14)</f>
        <v>8960</v>
      </c>
      <c r="G7" s="161"/>
      <c r="H7" s="94" t="s">
        <v>108</v>
      </c>
      <c r="I7" s="271">
        <v>0.01</v>
      </c>
      <c r="J7" s="95" t="s">
        <v>108</v>
      </c>
      <c r="K7" s="271">
        <v>0.01</v>
      </c>
      <c r="L7" s="102"/>
      <c r="M7" s="161"/>
      <c r="P7" s="47"/>
      <c r="Q7" s="39"/>
      <c r="V7" s="80"/>
      <c r="W7" s="39"/>
      <c r="Y7" s="81"/>
      <c r="Z7" s="39"/>
      <c r="AD7" s="81"/>
      <c r="AE7" s="39"/>
    </row>
    <row r="8" spans="2:31" ht="13.5" thickBot="1">
      <c r="B8" s="101" t="s">
        <v>14</v>
      </c>
      <c r="C8" s="269">
        <f>C7*C4</f>
        <v>685000</v>
      </c>
      <c r="D8" s="270"/>
      <c r="E8" s="78" t="s">
        <v>283</v>
      </c>
      <c r="F8" s="266">
        <f>(F4*F5)*F14</f>
        <v>9120</v>
      </c>
      <c r="G8" s="161"/>
      <c r="H8" s="96" t="s">
        <v>294</v>
      </c>
      <c r="I8" s="272">
        <v>105</v>
      </c>
      <c r="J8" s="97" t="s">
        <v>294</v>
      </c>
      <c r="K8" s="272">
        <v>108.5</v>
      </c>
      <c r="L8" s="102"/>
      <c r="M8" s="161"/>
      <c r="P8" s="47"/>
      <c r="Q8" s="39"/>
      <c r="V8" s="80"/>
      <c r="W8" s="39"/>
      <c r="Y8" s="81"/>
      <c r="Z8" s="39"/>
      <c r="AD8" s="81"/>
      <c r="AE8" s="39"/>
    </row>
    <row r="9" spans="2:31" ht="12.75">
      <c r="B9" s="101" t="s">
        <v>18</v>
      </c>
      <c r="C9" s="269">
        <f>F37</f>
        <v>1296938.7466666666</v>
      </c>
      <c r="D9" s="270"/>
      <c r="E9" s="78" t="s">
        <v>284</v>
      </c>
      <c r="F9" s="266">
        <f>SUM(F7:F8)</f>
        <v>18080</v>
      </c>
      <c r="G9" s="161"/>
      <c r="H9" s="181" t="s">
        <v>293</v>
      </c>
      <c r="I9" s="273"/>
      <c r="J9" s="98"/>
      <c r="K9" s="273"/>
      <c r="L9" s="102"/>
      <c r="M9" s="161"/>
      <c r="Q9" s="39"/>
      <c r="R9" s="80"/>
      <c r="U9" s="81"/>
      <c r="W9" s="39"/>
      <c r="AE9" s="39"/>
    </row>
    <row r="10" spans="2:31" ht="13.5" thickBot="1">
      <c r="B10" s="104" t="s">
        <v>25</v>
      </c>
      <c r="C10" s="274">
        <v>0.06</v>
      </c>
      <c r="D10" s="265"/>
      <c r="E10" s="101" t="s">
        <v>228</v>
      </c>
      <c r="F10" s="275">
        <v>1</v>
      </c>
      <c r="G10" s="161"/>
      <c r="H10" s="95" t="s">
        <v>193</v>
      </c>
      <c r="I10" s="102"/>
      <c r="J10" s="102"/>
      <c r="K10" s="102"/>
      <c r="L10" s="102"/>
      <c r="M10" s="161"/>
      <c r="Q10" s="39"/>
      <c r="R10" s="80"/>
      <c r="U10" s="81"/>
      <c r="W10" s="39"/>
      <c r="AE10" s="39"/>
    </row>
    <row r="11" spans="2:31" ht="13.5" thickBot="1">
      <c r="B11" s="181"/>
      <c r="C11" s="265"/>
      <c r="D11" s="265"/>
      <c r="E11" s="78" t="s">
        <v>221</v>
      </c>
      <c r="F11" s="276">
        <f>F3/12</f>
        <v>0.4666666666666666</v>
      </c>
      <c r="G11" s="161"/>
      <c r="H11" s="82" t="str">
        <f>I4</f>
        <v>Pellets</v>
      </c>
      <c r="I11" s="99" t="s">
        <v>195</v>
      </c>
      <c r="J11" s="92" t="str">
        <f>K4</f>
        <v>Meal</v>
      </c>
      <c r="K11" s="99" t="s">
        <v>195</v>
      </c>
      <c r="L11" s="102"/>
      <c r="M11" s="161"/>
      <c r="Q11" s="39"/>
      <c r="R11" s="80"/>
      <c r="U11" s="81"/>
      <c r="W11" s="39"/>
      <c r="AE11" s="39"/>
    </row>
    <row r="12" spans="2:31" ht="12.75">
      <c r="B12" s="100" t="s">
        <v>241</v>
      </c>
      <c r="C12" s="277"/>
      <c r="D12" s="263"/>
      <c r="E12" s="78" t="s">
        <v>222</v>
      </c>
      <c r="F12" s="278">
        <v>0.6</v>
      </c>
      <c r="G12" s="161"/>
      <c r="H12" s="101" t="s">
        <v>42</v>
      </c>
      <c r="I12" s="111">
        <f>IF(I6=0,0,(C7*F28)/I6)</f>
        <v>7.577433628318584</v>
      </c>
      <c r="J12" s="102" t="s">
        <v>42</v>
      </c>
      <c r="K12" s="111">
        <f>IF(K6=0,0,(C7*F28)/K6)</f>
        <v>0</v>
      </c>
      <c r="L12" s="102"/>
      <c r="M12" s="161"/>
      <c r="Q12" s="39"/>
      <c r="R12" s="80"/>
      <c r="U12" s="81"/>
      <c r="W12" s="39"/>
      <c r="AE12" s="39"/>
    </row>
    <row r="13" spans="2:31" ht="12.75">
      <c r="B13" s="101" t="s">
        <v>246</v>
      </c>
      <c r="C13" s="262">
        <v>0.005</v>
      </c>
      <c r="D13" s="263"/>
      <c r="E13" s="78" t="s">
        <v>171</v>
      </c>
      <c r="F13" s="278">
        <v>0.1</v>
      </c>
      <c r="G13" s="161"/>
      <c r="H13" s="101" t="s">
        <v>194</v>
      </c>
      <c r="I13" s="111">
        <f>IF(I6=0,0,Utilities!I16)</f>
        <v>5.669999999999999</v>
      </c>
      <c r="J13" s="102" t="s">
        <v>194</v>
      </c>
      <c r="K13" s="111">
        <f>IF(K6=0,0,Utilities!I19)</f>
        <v>0</v>
      </c>
      <c r="L13" s="102"/>
      <c r="M13" s="161"/>
      <c r="Q13" s="39"/>
      <c r="R13" s="80"/>
      <c r="U13" s="81"/>
      <c r="W13" s="39"/>
      <c r="AE13" s="39"/>
    </row>
    <row r="14" spans="2:31" ht="13.5" thickBot="1">
      <c r="B14" s="104" t="s">
        <v>103</v>
      </c>
      <c r="C14" s="279">
        <v>0.6</v>
      </c>
      <c r="D14" s="263"/>
      <c r="E14" s="78" t="s">
        <v>306</v>
      </c>
      <c r="F14" s="261">
        <v>8</v>
      </c>
      <c r="G14" s="161"/>
      <c r="H14" s="101" t="s">
        <v>197</v>
      </c>
      <c r="I14" s="111">
        <f>IF(I6=0,0,F23)</f>
        <v>30.977777777777778</v>
      </c>
      <c r="J14" s="102" t="s">
        <v>197</v>
      </c>
      <c r="K14" s="111">
        <f>IF(K6=0,0,F23)</f>
        <v>0</v>
      </c>
      <c r="L14" s="161"/>
      <c r="M14" s="161"/>
      <c r="P14" s="47"/>
      <c r="Q14" s="39"/>
      <c r="V14" s="80"/>
      <c r="W14" s="39"/>
      <c r="Y14" s="81"/>
      <c r="Z14" s="39"/>
      <c r="AD14" s="81"/>
      <c r="AE14" s="39"/>
    </row>
    <row r="15" spans="2:17" ht="16.5" thickBot="1">
      <c r="B15" s="181"/>
      <c r="C15" s="263"/>
      <c r="D15" s="263"/>
      <c r="E15" s="78" t="s">
        <v>174</v>
      </c>
      <c r="F15" s="280">
        <v>40</v>
      </c>
      <c r="G15" s="103"/>
      <c r="H15" s="104" t="s">
        <v>56</v>
      </c>
      <c r="I15" s="281">
        <f>SUM(I12:I14)</f>
        <v>44.22521140609636</v>
      </c>
      <c r="J15" s="105" t="s">
        <v>56</v>
      </c>
      <c r="K15" s="282">
        <f>SUM(K12:K14)</f>
        <v>0</v>
      </c>
      <c r="L15" s="161"/>
      <c r="M15" s="102"/>
      <c r="Q15" s="47"/>
    </row>
    <row r="16" spans="2:17" ht="13.5" thickBot="1">
      <c r="B16" s="100" t="s">
        <v>242</v>
      </c>
      <c r="C16" s="283"/>
      <c r="D16" s="181"/>
      <c r="E16" s="78" t="s">
        <v>175</v>
      </c>
      <c r="F16" s="284">
        <v>0.1</v>
      </c>
      <c r="G16" s="161"/>
      <c r="H16" s="102"/>
      <c r="I16" s="285"/>
      <c r="J16" s="102"/>
      <c r="K16" s="285"/>
      <c r="L16" s="161"/>
      <c r="M16" s="102"/>
      <c r="Q16" s="47"/>
    </row>
    <row r="17" spans="2:31" ht="12.75">
      <c r="B17" s="110" t="s">
        <v>35</v>
      </c>
      <c r="C17" s="262">
        <v>0.05</v>
      </c>
      <c r="D17" s="263"/>
      <c r="E17" s="78" t="s">
        <v>176</v>
      </c>
      <c r="F17" s="286">
        <v>0.18</v>
      </c>
      <c r="G17" s="161"/>
      <c r="H17" s="82" t="s">
        <v>110</v>
      </c>
      <c r="I17" s="92"/>
      <c r="J17" s="92"/>
      <c r="K17" s="257"/>
      <c r="L17" s="102"/>
      <c r="M17" s="161"/>
      <c r="P17" s="47"/>
      <c r="Q17" s="39"/>
      <c r="V17" s="80"/>
      <c r="W17" s="39"/>
      <c r="Y17" s="81"/>
      <c r="Z17" s="39"/>
      <c r="AD17" s="81"/>
      <c r="AE17" s="39"/>
    </row>
    <row r="18" spans="2:31" ht="12.75">
      <c r="B18" s="110" t="s">
        <v>36</v>
      </c>
      <c r="C18" s="262">
        <v>0.15</v>
      </c>
      <c r="D18" s="263"/>
      <c r="E18" s="78" t="s">
        <v>177</v>
      </c>
      <c r="F18" s="261">
        <v>30</v>
      </c>
      <c r="G18" s="161"/>
      <c r="H18" s="94" t="s">
        <v>111</v>
      </c>
      <c r="I18" s="95" t="s">
        <v>112</v>
      </c>
      <c r="J18" s="95" t="s">
        <v>113</v>
      </c>
      <c r="K18" s="260"/>
      <c r="L18" s="102"/>
      <c r="M18" s="161"/>
      <c r="P18" s="47"/>
      <c r="Q18" s="39"/>
      <c r="V18" s="80"/>
      <c r="W18" s="39"/>
      <c r="Y18" s="81"/>
      <c r="Z18" s="39"/>
      <c r="AD18" s="81"/>
      <c r="AE18" s="39"/>
    </row>
    <row r="19" spans="2:31" ht="12.75">
      <c r="B19" s="101" t="s">
        <v>232</v>
      </c>
      <c r="C19" s="262">
        <v>0.1</v>
      </c>
      <c r="D19" s="107"/>
      <c r="E19" s="78" t="s">
        <v>182</v>
      </c>
      <c r="F19" s="287">
        <f>F15/(1-F16)</f>
        <v>44.44444444444444</v>
      </c>
      <c r="G19" s="161"/>
      <c r="H19" s="101" t="str">
        <f>+I4</f>
        <v>Pellets</v>
      </c>
      <c r="I19" s="102" t="str">
        <f>I5</f>
        <v>tons</v>
      </c>
      <c r="J19" s="288">
        <f>I15</f>
        <v>44.22521140609636</v>
      </c>
      <c r="K19" s="266"/>
      <c r="L19" s="102"/>
      <c r="M19" s="161"/>
      <c r="P19" s="47"/>
      <c r="Q19" s="39"/>
      <c r="V19" s="80"/>
      <c r="W19" s="39"/>
      <c r="Y19" s="81"/>
      <c r="Z19" s="39"/>
      <c r="AD19" s="81"/>
      <c r="AE19" s="39"/>
    </row>
    <row r="20" spans="2:31" ht="13.5" thickBot="1">
      <c r="B20" s="110" t="s">
        <v>34</v>
      </c>
      <c r="C20" s="289">
        <f>SUM(C17:C19)</f>
        <v>0.30000000000000004</v>
      </c>
      <c r="D20" s="263"/>
      <c r="E20" s="78" t="s">
        <v>220</v>
      </c>
      <c r="F20" s="286">
        <v>40</v>
      </c>
      <c r="G20" s="161"/>
      <c r="H20" s="104" t="str">
        <f>K4</f>
        <v>Meal</v>
      </c>
      <c r="I20" s="105" t="str">
        <f>K5</f>
        <v>tons</v>
      </c>
      <c r="J20" s="290">
        <f>K15</f>
        <v>0</v>
      </c>
      <c r="K20" s="291"/>
      <c r="L20" s="102"/>
      <c r="M20" s="161"/>
      <c r="P20" s="47"/>
      <c r="Q20" s="39"/>
      <c r="V20" s="80"/>
      <c r="W20" s="39"/>
      <c r="Y20" s="81"/>
      <c r="Z20" s="39"/>
      <c r="AD20" s="81"/>
      <c r="AE20" s="39"/>
    </row>
    <row r="21" spans="2:31" ht="13.5" thickBot="1">
      <c r="B21" s="110" t="s">
        <v>99</v>
      </c>
      <c r="C21" s="289">
        <v>0.01</v>
      </c>
      <c r="D21" s="263"/>
      <c r="E21" s="78" t="s">
        <v>183</v>
      </c>
      <c r="F21" s="287">
        <f>(F19*(1-F12))</f>
        <v>17.77777777777778</v>
      </c>
      <c r="G21" s="161"/>
      <c r="H21" s="181"/>
      <c r="I21" s="288"/>
      <c r="J21" s="181"/>
      <c r="K21" s="292"/>
      <c r="L21" s="102"/>
      <c r="M21" s="161"/>
      <c r="P21" s="47"/>
      <c r="Q21" s="39"/>
      <c r="V21" s="80"/>
      <c r="W21" s="39"/>
      <c r="Y21" s="81"/>
      <c r="Z21" s="39"/>
      <c r="AD21" s="81"/>
      <c r="AE21" s="39"/>
    </row>
    <row r="22" spans="2:31" ht="13.5" thickBot="1">
      <c r="B22" s="293" t="s">
        <v>192</v>
      </c>
      <c r="C22" s="291">
        <f>'Input Value'!F6</f>
        <v>2260</v>
      </c>
      <c r="D22" s="181"/>
      <c r="E22" s="78" t="s">
        <v>271</v>
      </c>
      <c r="F22" s="287">
        <f>(F19*(1-F11))+(F21*F11)</f>
        <v>32</v>
      </c>
      <c r="G22" s="161"/>
      <c r="H22" s="245" t="s">
        <v>254</v>
      </c>
      <c r="I22" s="294"/>
      <c r="J22" s="295"/>
      <c r="K22" s="161"/>
      <c r="L22" s="102"/>
      <c r="M22" s="161"/>
      <c r="P22" s="47"/>
      <c r="Q22" s="39"/>
      <c r="V22" s="80"/>
      <c r="W22" s="39"/>
      <c r="Y22" s="81"/>
      <c r="Z22" s="39"/>
      <c r="AD22" s="81"/>
      <c r="AE22" s="39"/>
    </row>
    <row r="23" spans="2:31" ht="16.5" thickBot="1">
      <c r="B23" s="161"/>
      <c r="C23" s="161"/>
      <c r="D23" s="181"/>
      <c r="E23" s="78" t="s">
        <v>270</v>
      </c>
      <c r="F23" s="287">
        <f>(Utilities!C20*(1-F11))+(Utilities!C12*F11)</f>
        <v>30.977777777777778</v>
      </c>
      <c r="G23" s="161"/>
      <c r="H23" s="296" t="s">
        <v>247</v>
      </c>
      <c r="I23" s="294"/>
      <c r="J23" s="295"/>
      <c r="K23" s="297"/>
      <c r="L23" s="102"/>
      <c r="M23" s="161"/>
      <c r="P23" s="47"/>
      <c r="Q23" s="39"/>
      <c r="V23" s="80"/>
      <c r="W23" s="39"/>
      <c r="Y23" s="81"/>
      <c r="Z23" s="39"/>
      <c r="AD23" s="81"/>
      <c r="AE23" s="39"/>
    </row>
    <row r="24" spans="2:31" ht="13.5" thickBot="1">
      <c r="B24" s="100" t="s">
        <v>239</v>
      </c>
      <c r="C24" s="283"/>
      <c r="D24" s="298"/>
      <c r="E24" s="112" t="s">
        <v>307</v>
      </c>
      <c r="F24" s="299">
        <f>Utilities!$I$7*Utilities!$I$9</f>
        <v>895.2</v>
      </c>
      <c r="G24" s="161"/>
      <c r="H24" s="246" t="s">
        <v>248</v>
      </c>
      <c r="I24" s="294"/>
      <c r="J24" s="295"/>
      <c r="K24" s="161"/>
      <c r="L24" s="102"/>
      <c r="M24" s="161"/>
      <c r="P24" s="47"/>
      <c r="Q24" s="39"/>
      <c r="V24" s="80"/>
      <c r="W24" s="39"/>
      <c r="Y24" s="81"/>
      <c r="Z24" s="39"/>
      <c r="AD24" s="81"/>
      <c r="AE24" s="39"/>
    </row>
    <row r="25" spans="2:31" ht="16.5" thickBot="1">
      <c r="B25" s="101" t="s">
        <v>167</v>
      </c>
      <c r="C25" s="300">
        <v>0.05</v>
      </c>
      <c r="D25" s="301"/>
      <c r="E25" s="107"/>
      <c r="F25" s="107"/>
      <c r="G25" s="161"/>
      <c r="H25" s="296" t="s">
        <v>249</v>
      </c>
      <c r="I25" s="294"/>
      <c r="J25" s="295"/>
      <c r="K25" s="297"/>
      <c r="L25" s="102"/>
      <c r="M25" s="161"/>
      <c r="P25" s="47"/>
      <c r="Q25" s="39"/>
      <c r="V25" s="80"/>
      <c r="W25" s="39"/>
      <c r="Y25" s="81"/>
      <c r="Z25" s="39"/>
      <c r="AD25" s="81"/>
      <c r="AE25" s="39"/>
    </row>
    <row r="26" spans="2:31" ht="16.5" thickBot="1">
      <c r="B26" s="101" t="s">
        <v>199</v>
      </c>
      <c r="C26" s="302">
        <v>1200</v>
      </c>
      <c r="D26" s="116"/>
      <c r="E26" s="100" t="s">
        <v>240</v>
      </c>
      <c r="F26" s="283"/>
      <c r="G26" s="161"/>
      <c r="H26" s="296" t="s">
        <v>250</v>
      </c>
      <c r="I26" s="294"/>
      <c r="J26" s="295"/>
      <c r="K26" s="303"/>
      <c r="L26" s="102"/>
      <c r="M26" s="161"/>
      <c r="P26" s="47"/>
      <c r="Q26" s="39"/>
      <c r="V26" s="80"/>
      <c r="W26" s="39"/>
      <c r="Y26" s="81"/>
      <c r="Z26" s="39"/>
      <c r="AD26" s="81"/>
      <c r="AE26" s="39"/>
    </row>
    <row r="27" spans="2:31" ht="16.5" thickBot="1">
      <c r="B27" s="101" t="s">
        <v>168</v>
      </c>
      <c r="C27" s="300">
        <v>3</v>
      </c>
      <c r="D27" s="301"/>
      <c r="E27" s="101" t="s">
        <v>100</v>
      </c>
      <c r="F27" s="262">
        <v>0.01</v>
      </c>
      <c r="G27" s="161"/>
      <c r="H27" s="304" t="s">
        <v>251</v>
      </c>
      <c r="I27" s="305"/>
      <c r="J27" s="306"/>
      <c r="K27" s="161"/>
      <c r="L27" s="102"/>
      <c r="M27" s="161"/>
      <c r="P27" s="47"/>
      <c r="Q27" s="39"/>
      <c r="V27" s="80"/>
      <c r="W27" s="39"/>
      <c r="Y27" s="81"/>
      <c r="Z27" s="39"/>
      <c r="AD27" s="81"/>
      <c r="AE27" s="39"/>
    </row>
    <row r="28" spans="2:31" ht="12.75">
      <c r="B28" s="101" t="s">
        <v>200</v>
      </c>
      <c r="C28" s="307">
        <f>+Utilities!F13</f>
        <v>13288.799999999992</v>
      </c>
      <c r="D28" s="109"/>
      <c r="E28" s="101" t="s">
        <v>243</v>
      </c>
      <c r="F28" s="275">
        <v>0.1</v>
      </c>
      <c r="G28" s="161"/>
      <c r="H28" s="102"/>
      <c r="I28" s="102"/>
      <c r="J28" s="102"/>
      <c r="K28" s="161"/>
      <c r="L28" s="102"/>
      <c r="M28" s="161"/>
      <c r="P28" s="47"/>
      <c r="Q28" s="39"/>
      <c r="V28" s="80"/>
      <c r="W28" s="39"/>
      <c r="Y28" s="81"/>
      <c r="Z28" s="39"/>
      <c r="AD28" s="81"/>
      <c r="AE28" s="39"/>
    </row>
    <row r="29" spans="2:31" ht="12.75">
      <c r="B29" s="110" t="s">
        <v>202</v>
      </c>
      <c r="C29" s="111">
        <f>Utilities!I11</f>
        <v>101157.6</v>
      </c>
      <c r="D29" s="109"/>
      <c r="E29" s="101" t="s">
        <v>244</v>
      </c>
      <c r="F29" s="264">
        <v>0.01</v>
      </c>
      <c r="G29" s="161"/>
      <c r="H29" s="102"/>
      <c r="I29" s="102"/>
      <c r="J29" s="102"/>
      <c r="K29" s="161"/>
      <c r="L29" s="102"/>
      <c r="M29" s="161"/>
      <c r="P29" s="47"/>
      <c r="Q29" s="39"/>
      <c r="V29" s="80"/>
      <c r="W29" s="39"/>
      <c r="Y29" s="81"/>
      <c r="Z29" s="39"/>
      <c r="AD29" s="81"/>
      <c r="AE29" s="39"/>
    </row>
    <row r="30" spans="2:32" ht="13.5" thickBot="1">
      <c r="B30" s="110" t="s">
        <v>203</v>
      </c>
      <c r="C30" s="111">
        <f>Utilities!I12</f>
        <v>5.595000000000001</v>
      </c>
      <c r="D30" s="109"/>
      <c r="E30" s="112" t="s">
        <v>245</v>
      </c>
      <c r="F30" s="308">
        <v>0.12</v>
      </c>
      <c r="G30" s="161"/>
      <c r="H30" s="102"/>
      <c r="I30" s="102"/>
      <c r="J30" s="102"/>
      <c r="K30" s="102"/>
      <c r="L30" s="102"/>
      <c r="M30" s="113"/>
      <c r="P30" s="47"/>
      <c r="Q30" s="113"/>
      <c r="V30" s="80"/>
      <c r="W30" s="114"/>
      <c r="Y30" s="81"/>
      <c r="Z30" s="39"/>
      <c r="AA30" s="115" t="s">
        <v>50</v>
      </c>
      <c r="AD30" s="81"/>
      <c r="AE30" s="39"/>
      <c r="AF30" s="115" t="s">
        <v>59</v>
      </c>
    </row>
    <row r="31" spans="2:31" ht="13.5" thickBot="1">
      <c r="B31" s="110" t="s">
        <v>211</v>
      </c>
      <c r="C31" s="111">
        <f>Utilities!F19</f>
        <v>3000</v>
      </c>
      <c r="D31" s="116"/>
      <c r="E31" s="309"/>
      <c r="F31" s="309"/>
      <c r="G31" s="309"/>
      <c r="H31" s="102"/>
      <c r="I31" s="102"/>
      <c r="J31" s="102"/>
      <c r="K31" s="292"/>
      <c r="L31" s="102"/>
      <c r="M31" s="161"/>
      <c r="P31" s="47"/>
      <c r="Q31" s="39"/>
      <c r="V31" s="80"/>
      <c r="W31" s="39"/>
      <c r="Y31" s="81"/>
      <c r="Z31" s="39"/>
      <c r="AD31" s="81"/>
      <c r="AE31" s="39"/>
    </row>
    <row r="32" spans="2:17" ht="12.75">
      <c r="B32" s="110" t="s">
        <v>208</v>
      </c>
      <c r="C32" s="111">
        <f>Utilities!F20</f>
        <v>0.16592920353982302</v>
      </c>
      <c r="D32" s="117"/>
      <c r="E32" s="100" t="s">
        <v>275</v>
      </c>
      <c r="F32" s="257"/>
      <c r="G32" s="309"/>
      <c r="H32" s="102"/>
      <c r="I32" s="102"/>
      <c r="J32" s="161"/>
      <c r="K32" s="102"/>
      <c r="L32" s="161"/>
      <c r="M32" s="102"/>
      <c r="Q32" s="47"/>
    </row>
    <row r="33" spans="2:34" ht="12.75">
      <c r="B33" s="110" t="s">
        <v>212</v>
      </c>
      <c r="C33" s="111">
        <f>Utilities!F15</f>
        <v>39866.39999999998</v>
      </c>
      <c r="D33" s="118"/>
      <c r="E33" s="101" t="s">
        <v>288</v>
      </c>
      <c r="F33" s="310">
        <f>Utilities!C19+Utilities!C11</f>
        <v>1145066.6666666665</v>
      </c>
      <c r="G33" s="161"/>
      <c r="H33" s="102"/>
      <c r="I33" s="102"/>
      <c r="J33" s="161"/>
      <c r="K33" s="102"/>
      <c r="L33" s="161"/>
      <c r="M33" s="102"/>
      <c r="N33" s="119"/>
      <c r="O33" s="120"/>
      <c r="Q33" s="47"/>
      <c r="R33" s="121"/>
      <c r="S33" s="122"/>
      <c r="T33" s="122"/>
      <c r="U33" s="122"/>
      <c r="X33" s="123"/>
      <c r="AG33" s="119" t="s">
        <v>60</v>
      </c>
      <c r="AH33" s="124">
        <v>0</v>
      </c>
    </row>
    <row r="34" spans="2:34" ht="12.75">
      <c r="B34" s="110" t="s">
        <v>213</v>
      </c>
      <c r="C34" s="111">
        <f>Utilities!F16</f>
        <v>2.2049999999999987</v>
      </c>
      <c r="D34" s="116"/>
      <c r="E34" s="101" t="s">
        <v>285</v>
      </c>
      <c r="F34" s="278">
        <v>0.08</v>
      </c>
      <c r="G34" s="161"/>
      <c r="H34" s="102"/>
      <c r="I34" s="102"/>
      <c r="J34" s="161"/>
      <c r="K34" s="102"/>
      <c r="L34" s="161"/>
      <c r="M34" s="102"/>
      <c r="N34" s="119"/>
      <c r="O34" s="125"/>
      <c r="Q34" s="47"/>
      <c r="R34" s="119"/>
      <c r="S34" s="120"/>
      <c r="T34" s="120"/>
      <c r="U34" s="120"/>
      <c r="X34" s="119"/>
      <c r="Y34" s="125"/>
      <c r="AG34" s="119" t="s">
        <v>58</v>
      </c>
      <c r="AH34" s="125">
        <v>0</v>
      </c>
    </row>
    <row r="35" spans="2:25" ht="12.75">
      <c r="B35" s="110" t="s">
        <v>214</v>
      </c>
      <c r="C35" s="111">
        <f>Utilities!F21</f>
        <v>2400</v>
      </c>
      <c r="D35" s="116"/>
      <c r="E35" s="101" t="s">
        <v>286</v>
      </c>
      <c r="F35" s="310">
        <f>'Operations Summary'!D13*F34</f>
        <v>151872</v>
      </c>
      <c r="G35" s="161"/>
      <c r="H35" s="161"/>
      <c r="I35" s="102"/>
      <c r="J35" s="161"/>
      <c r="K35" s="102"/>
      <c r="L35" s="161"/>
      <c r="M35" s="102"/>
      <c r="N35" s="119"/>
      <c r="O35" s="125"/>
      <c r="Q35" s="47"/>
      <c r="R35" s="126"/>
      <c r="S35" s="127"/>
      <c r="T35" s="127"/>
      <c r="U35" s="127"/>
      <c r="X35" s="119"/>
      <c r="Y35" s="125"/>
    </row>
    <row r="36" spans="2:25" ht="12.75">
      <c r="B36" s="110" t="s">
        <v>215</v>
      </c>
      <c r="C36" s="111">
        <f>Utilities!F22</f>
        <v>0.13274336283185842</v>
      </c>
      <c r="D36" s="128"/>
      <c r="E36" s="78" t="s">
        <v>287</v>
      </c>
      <c r="F36" s="311">
        <v>0</v>
      </c>
      <c r="G36" s="312"/>
      <c r="H36" s="161"/>
      <c r="I36" s="102"/>
      <c r="J36" s="161"/>
      <c r="K36" s="102"/>
      <c r="L36" s="161"/>
      <c r="M36" s="102"/>
      <c r="N36" s="119"/>
      <c r="O36" s="125"/>
      <c r="Q36" s="47"/>
      <c r="R36" s="119"/>
      <c r="S36" s="120"/>
      <c r="T36" s="120"/>
      <c r="U36" s="120"/>
      <c r="X36" s="119"/>
      <c r="Y36" s="125"/>
    </row>
    <row r="37" spans="2:25" ht="13.5" thickBot="1">
      <c r="B37" s="130" t="s">
        <v>216</v>
      </c>
      <c r="C37" s="131">
        <f>C29+C31+C33+C35</f>
        <v>146424</v>
      </c>
      <c r="D37" s="132"/>
      <c r="E37" s="313" t="s">
        <v>276</v>
      </c>
      <c r="F37" s="314">
        <f>SUM(F33:F36)</f>
        <v>1296938.7466666666</v>
      </c>
      <c r="G37" s="312"/>
      <c r="H37" s="161"/>
      <c r="I37" s="102"/>
      <c r="J37" s="161"/>
      <c r="K37" s="161"/>
      <c r="L37" s="161"/>
      <c r="M37" s="102"/>
      <c r="N37" s="119"/>
      <c r="O37" s="120"/>
      <c r="Q37" s="47"/>
      <c r="R37" s="126"/>
      <c r="S37" s="127"/>
      <c r="T37" s="127"/>
      <c r="U37" s="127"/>
      <c r="X37" s="119"/>
      <c r="Y37" s="125"/>
    </row>
    <row r="38" spans="2:25" ht="13.5" thickBot="1">
      <c r="B38" s="133" t="s">
        <v>217</v>
      </c>
      <c r="C38" s="134">
        <f>C30+C32+C34+C36</f>
        <v>8.09867256637168</v>
      </c>
      <c r="I38" s="47"/>
      <c r="M38" s="47"/>
      <c r="N38" s="119"/>
      <c r="O38" s="127"/>
      <c r="Q38" s="47"/>
      <c r="R38" s="119"/>
      <c r="S38" s="120"/>
      <c r="T38" s="120"/>
      <c r="U38" s="120"/>
      <c r="X38" s="119"/>
      <c r="Y38" s="125"/>
    </row>
    <row r="39" spans="4:29" ht="12.75">
      <c r="D39" s="84"/>
      <c r="I39" s="47"/>
      <c r="M39" s="47"/>
      <c r="O39" s="135"/>
      <c r="Q39" s="47"/>
      <c r="R39" s="126"/>
      <c r="S39" s="127"/>
      <c r="T39" s="127"/>
      <c r="U39" s="127"/>
      <c r="X39" s="119"/>
      <c r="Y39" s="125"/>
      <c r="AC39" s="120"/>
    </row>
    <row r="40" spans="4:29" ht="12.75">
      <c r="D40" s="90"/>
      <c r="I40" s="47"/>
      <c r="L40" s="79"/>
      <c r="M40" s="47"/>
      <c r="N40" s="119"/>
      <c r="O40" s="120"/>
      <c r="Q40" s="47"/>
      <c r="R40" s="119"/>
      <c r="S40" s="120"/>
      <c r="T40" s="120"/>
      <c r="U40" s="120"/>
      <c r="X40" s="119"/>
      <c r="Y40" s="125"/>
      <c r="AC40" s="120"/>
    </row>
    <row r="41" spans="3:29" ht="12.75">
      <c r="C41" s="136"/>
      <c r="D41" s="137"/>
      <c r="E41" s="116"/>
      <c r="F41" s="116"/>
      <c r="I41" s="47"/>
      <c r="M41" s="47"/>
      <c r="N41" s="119"/>
      <c r="O41" s="125"/>
      <c r="Q41" s="47"/>
      <c r="R41" s="126"/>
      <c r="S41" s="127"/>
      <c r="T41" s="127"/>
      <c r="U41" s="127"/>
      <c r="V41" s="127"/>
      <c r="X41" s="119"/>
      <c r="Y41" s="125"/>
      <c r="AC41" s="124"/>
    </row>
    <row r="42" spans="2:29" ht="12.75">
      <c r="B42" s="138"/>
      <c r="C42" s="47"/>
      <c r="D42" s="93"/>
      <c r="E42" s="128"/>
      <c r="F42" s="128"/>
      <c r="G42" s="79"/>
      <c r="I42" s="47"/>
      <c r="M42" s="47"/>
      <c r="Q42" s="47"/>
      <c r="R42" s="126"/>
      <c r="S42" s="127"/>
      <c r="T42" s="127"/>
      <c r="U42" s="127"/>
      <c r="V42" s="127"/>
      <c r="X42" s="119"/>
      <c r="Y42" s="125"/>
      <c r="AC42" s="120"/>
    </row>
    <row r="43" spans="2:29" ht="12.75">
      <c r="B43" s="48"/>
      <c r="C43" s="47"/>
      <c r="D43" s="139"/>
      <c r="E43" s="132"/>
      <c r="F43" s="132"/>
      <c r="I43" s="47"/>
      <c r="M43" s="47"/>
      <c r="Q43" s="47"/>
      <c r="R43" s="126"/>
      <c r="S43" s="127"/>
      <c r="T43" s="127"/>
      <c r="U43" s="127"/>
      <c r="V43" s="127"/>
      <c r="X43" s="121"/>
      <c r="AC43" s="124"/>
    </row>
    <row r="44" spans="2:29" ht="12.75">
      <c r="B44" s="48"/>
      <c r="C44" s="47"/>
      <c r="D44" s="136"/>
      <c r="I44" s="47"/>
      <c r="M44" s="47"/>
      <c r="Q44" s="47"/>
      <c r="R44" s="127"/>
      <c r="S44" s="127"/>
      <c r="T44" s="127"/>
      <c r="U44" s="127"/>
      <c r="V44" s="127"/>
      <c r="X44" s="119"/>
      <c r="Y44" s="125"/>
      <c r="AC44" s="120"/>
    </row>
    <row r="45" spans="2:29" ht="12.75">
      <c r="B45" s="48"/>
      <c r="C45" s="47"/>
      <c r="D45" s="136"/>
      <c r="E45" s="84"/>
      <c r="F45" s="84"/>
      <c r="I45" s="47"/>
      <c r="M45" s="47"/>
      <c r="Q45" s="47"/>
      <c r="R45" s="140"/>
      <c r="S45" s="140"/>
      <c r="T45" s="140"/>
      <c r="U45" s="140"/>
      <c r="V45" s="127"/>
      <c r="X45" s="119"/>
      <c r="Y45" s="125"/>
      <c r="AC45" s="141"/>
    </row>
    <row r="46" spans="2:29" ht="12.75">
      <c r="B46" s="48"/>
      <c r="C46" s="47"/>
      <c r="D46" s="84"/>
      <c r="E46" s="90"/>
      <c r="F46" s="90"/>
      <c r="G46" s="47"/>
      <c r="I46" s="47"/>
      <c r="M46" s="47"/>
      <c r="Q46" s="47"/>
      <c r="R46" s="127"/>
      <c r="S46" s="127"/>
      <c r="T46" s="127"/>
      <c r="U46" s="127"/>
      <c r="V46" s="127"/>
      <c r="X46" s="119"/>
      <c r="Y46" s="125"/>
      <c r="AC46" s="124"/>
    </row>
    <row r="47" spans="2:29" ht="12.75">
      <c r="B47" s="47"/>
      <c r="C47" s="47"/>
      <c r="D47" s="84"/>
      <c r="E47" s="137"/>
      <c r="F47" s="137"/>
      <c r="G47" s="47"/>
      <c r="I47" s="47"/>
      <c r="M47" s="47"/>
      <c r="Q47" s="47"/>
      <c r="R47" s="126"/>
      <c r="S47" s="127"/>
      <c r="T47" s="127"/>
      <c r="U47" s="127"/>
      <c r="V47" s="127"/>
      <c r="X47" s="119"/>
      <c r="Y47" s="125"/>
      <c r="AC47" s="142"/>
    </row>
    <row r="48" spans="2:29" ht="12.75">
      <c r="B48" s="47"/>
      <c r="C48" s="47"/>
      <c r="D48" s="84"/>
      <c r="E48" s="93"/>
      <c r="F48" s="93"/>
      <c r="G48" s="47"/>
      <c r="I48" s="47"/>
      <c r="M48" s="47"/>
      <c r="Q48" s="47"/>
      <c r="R48" s="127"/>
      <c r="S48" s="127"/>
      <c r="T48" s="127"/>
      <c r="U48" s="127"/>
      <c r="V48" s="127"/>
      <c r="X48" s="119"/>
      <c r="Y48" s="125"/>
      <c r="AC48" s="143"/>
    </row>
    <row r="49" spans="2:29" ht="12.75">
      <c r="B49" s="47"/>
      <c r="D49" s="84"/>
      <c r="E49" s="139"/>
      <c r="F49" s="139"/>
      <c r="G49" s="47"/>
      <c r="I49" s="47"/>
      <c r="M49" s="47"/>
      <c r="Q49" s="47"/>
      <c r="R49" s="126"/>
      <c r="S49" s="127"/>
      <c r="T49" s="127"/>
      <c r="U49" s="127"/>
      <c r="V49" s="127"/>
      <c r="AC49" s="142"/>
    </row>
    <row r="50" spans="3:29" ht="12.75">
      <c r="C50" s="144"/>
      <c r="D50" s="84"/>
      <c r="E50" s="136"/>
      <c r="F50" s="136"/>
      <c r="G50" s="47"/>
      <c r="I50" s="47"/>
      <c r="M50" s="47"/>
      <c r="Q50" s="47"/>
      <c r="R50" s="127"/>
      <c r="S50" s="127"/>
      <c r="T50" s="127"/>
      <c r="U50" s="127"/>
      <c r="V50" s="127"/>
      <c r="X50" s="121"/>
      <c r="AC50" s="142"/>
    </row>
    <row r="51" spans="2:29" ht="12.75">
      <c r="B51" s="145"/>
      <c r="C51" s="144"/>
      <c r="D51" s="84"/>
      <c r="E51" s="136"/>
      <c r="F51" s="136"/>
      <c r="G51" s="47"/>
      <c r="I51" s="47"/>
      <c r="M51" s="47"/>
      <c r="Q51" s="47"/>
      <c r="R51" s="126"/>
      <c r="S51" s="127"/>
      <c r="T51" s="127"/>
      <c r="U51" s="127"/>
      <c r="V51" s="127"/>
      <c r="Y51" s="135"/>
      <c r="AC51" s="142"/>
    </row>
    <row r="52" spans="2:29" ht="12.75">
      <c r="B52" s="145"/>
      <c r="D52" s="84"/>
      <c r="E52" s="84"/>
      <c r="F52" s="84"/>
      <c r="G52" s="47"/>
      <c r="I52" s="47"/>
      <c r="M52" s="47"/>
      <c r="Q52" s="47"/>
      <c r="R52" s="127"/>
      <c r="S52" s="127"/>
      <c r="T52" s="127"/>
      <c r="U52" s="127"/>
      <c r="V52" s="127"/>
      <c r="Y52" s="135"/>
      <c r="AC52" s="142"/>
    </row>
    <row r="53" spans="5:29" ht="12.75">
      <c r="E53" s="84"/>
      <c r="F53" s="84"/>
      <c r="G53" s="129"/>
      <c r="I53" s="47"/>
      <c r="M53" s="47"/>
      <c r="Q53" s="47"/>
      <c r="R53" s="126"/>
      <c r="S53" s="127"/>
      <c r="T53" s="127"/>
      <c r="U53" s="127"/>
      <c r="V53" s="127"/>
      <c r="Y53" s="135"/>
      <c r="AC53" s="124"/>
    </row>
    <row r="54" spans="4:25" ht="12.75">
      <c r="D54" s="136"/>
      <c r="E54" s="84"/>
      <c r="F54" s="84"/>
      <c r="G54" s="129"/>
      <c r="I54" s="47"/>
      <c r="M54" s="47"/>
      <c r="Q54" s="47"/>
      <c r="R54" s="127"/>
      <c r="S54" s="127"/>
      <c r="T54" s="127"/>
      <c r="U54" s="127"/>
      <c r="V54" s="127"/>
      <c r="X54" s="119"/>
      <c r="Y54" s="135"/>
    </row>
    <row r="55" spans="3:22" ht="12.75">
      <c r="C55" s="144"/>
      <c r="D55" s="136"/>
      <c r="E55" s="84"/>
      <c r="F55" s="84"/>
      <c r="I55" s="47"/>
      <c r="M55" s="47"/>
      <c r="Q55" s="47"/>
      <c r="R55" s="126"/>
      <c r="S55" s="127"/>
      <c r="T55" s="127"/>
      <c r="U55" s="127"/>
      <c r="V55" s="127"/>
    </row>
    <row r="56" spans="2:29" ht="12.75">
      <c r="B56" s="145"/>
      <c r="C56" s="144"/>
      <c r="E56" s="84"/>
      <c r="F56" s="84"/>
      <c r="I56" s="47"/>
      <c r="M56" s="47"/>
      <c r="Q56" s="47"/>
      <c r="X56" s="121"/>
      <c r="AC56" s="120"/>
    </row>
    <row r="57" spans="2:29" ht="12.75">
      <c r="B57" s="145"/>
      <c r="E57" s="84"/>
      <c r="F57" s="84"/>
      <c r="I57" s="47"/>
      <c r="M57" s="47"/>
      <c r="Q57" s="47"/>
      <c r="X57" s="119"/>
      <c r="Y57" s="135"/>
      <c r="AC57" s="120"/>
    </row>
    <row r="58" spans="5:29" ht="12.75">
      <c r="E58" s="84"/>
      <c r="F58" s="84"/>
      <c r="I58" s="47"/>
      <c r="M58" s="47"/>
      <c r="Q58" s="47"/>
      <c r="X58" s="119"/>
      <c r="Y58" s="125"/>
      <c r="AC58" s="120"/>
    </row>
    <row r="59" spans="4:29" ht="12.75">
      <c r="D59" s="136"/>
      <c r="I59" s="47"/>
      <c r="M59" s="47"/>
      <c r="Q59" s="47"/>
      <c r="X59" s="119"/>
      <c r="Y59" s="135"/>
      <c r="AC59" s="120"/>
    </row>
    <row r="60" spans="2:29" ht="12.75">
      <c r="B60" s="146"/>
      <c r="D60" s="136"/>
      <c r="E60" s="136"/>
      <c r="F60" s="136"/>
      <c r="I60" s="47"/>
      <c r="M60" s="47"/>
      <c r="Q60" s="47"/>
      <c r="X60" s="119"/>
      <c r="AB60" s="119"/>
      <c r="AC60" s="147"/>
    </row>
    <row r="61" spans="5:25" ht="12.75">
      <c r="E61" s="136"/>
      <c r="F61" s="136"/>
      <c r="I61" s="47"/>
      <c r="M61" s="47"/>
      <c r="Q61" s="47"/>
      <c r="X61" s="119"/>
      <c r="Y61" s="135"/>
    </row>
    <row r="62" spans="9:28" ht="12.75">
      <c r="I62" s="47"/>
      <c r="M62" s="47"/>
      <c r="Q62" s="47"/>
      <c r="X62" s="119"/>
      <c r="Y62" s="125"/>
      <c r="AB62" s="125"/>
    </row>
    <row r="63" spans="9:28" ht="12.75">
      <c r="I63" s="47"/>
      <c r="M63" s="47"/>
      <c r="Q63" s="47"/>
      <c r="X63" s="119"/>
      <c r="Y63" s="135"/>
      <c r="AB63" s="125"/>
    </row>
    <row r="64" spans="9:25" ht="12.75">
      <c r="I64" s="47"/>
      <c r="M64" s="47"/>
      <c r="Q64" s="47"/>
      <c r="X64" s="119"/>
      <c r="Y64" s="135"/>
    </row>
    <row r="65" spans="5:17" ht="12.75">
      <c r="E65" s="136"/>
      <c r="F65" s="136"/>
      <c r="I65" s="47"/>
      <c r="M65" s="47"/>
      <c r="Q65" s="47"/>
    </row>
    <row r="66" spans="5:25" ht="12.75">
      <c r="E66" s="136"/>
      <c r="F66" s="136"/>
      <c r="I66" s="47"/>
      <c r="M66" s="47"/>
      <c r="Q66" s="47"/>
      <c r="X66" s="119"/>
      <c r="Y66" s="135"/>
    </row>
    <row r="67" spans="9:25" ht="12.75">
      <c r="I67" s="47"/>
      <c r="M67" s="47"/>
      <c r="Q67" s="47"/>
      <c r="X67" s="119"/>
      <c r="Y67" s="135"/>
    </row>
    <row r="68" spans="9:25" ht="12.75">
      <c r="I68" s="47"/>
      <c r="M68" s="47"/>
      <c r="Q68" s="47"/>
      <c r="X68" s="119"/>
      <c r="Y68" s="135"/>
    </row>
    <row r="69" spans="9:25" ht="12.75">
      <c r="I69" s="47"/>
      <c r="M69" s="47"/>
      <c r="Q69" s="47"/>
      <c r="X69" s="119"/>
      <c r="Y69" s="135"/>
    </row>
    <row r="70" spans="9:25" ht="12.75">
      <c r="I70" s="47"/>
      <c r="M70" s="47"/>
      <c r="Q70" s="47"/>
      <c r="X70" s="119"/>
      <c r="Y70" s="135"/>
    </row>
    <row r="71" spans="9:17" ht="12.75">
      <c r="I71" s="47"/>
      <c r="M71" s="47"/>
      <c r="Q71" s="47"/>
    </row>
    <row r="72" spans="9:25" ht="12.75">
      <c r="I72" s="47"/>
      <c r="M72" s="47"/>
      <c r="Q72" s="47"/>
      <c r="X72" s="119"/>
      <c r="Y72" s="135"/>
    </row>
    <row r="73" spans="9:17" ht="12.75">
      <c r="I73" s="47"/>
      <c r="M73" s="47"/>
      <c r="Q73" s="47"/>
    </row>
    <row r="74" spans="9:24" ht="12.75">
      <c r="I74" s="47"/>
      <c r="M74" s="47"/>
      <c r="Q74" s="47"/>
      <c r="X74" s="121"/>
    </row>
    <row r="75" spans="9:24" ht="12.75">
      <c r="I75" s="47"/>
      <c r="M75" s="47"/>
      <c r="Q75" s="47"/>
      <c r="X75" s="119"/>
    </row>
    <row r="76" spans="9:24" ht="12.75">
      <c r="I76" s="47"/>
      <c r="M76" s="47"/>
      <c r="Q76" s="47"/>
      <c r="X76" s="119"/>
    </row>
    <row r="77" spans="9:24" ht="12.75">
      <c r="I77" s="47"/>
      <c r="M77" s="47"/>
      <c r="Q77" s="47"/>
      <c r="X77" s="119"/>
    </row>
    <row r="78" spans="9:17" ht="12.75">
      <c r="I78" s="47"/>
      <c r="M78" s="47"/>
      <c r="Q78" s="47"/>
    </row>
    <row r="79" spans="9:17" ht="12.75">
      <c r="I79" s="47"/>
      <c r="M79" s="47"/>
      <c r="Q79" s="47"/>
    </row>
    <row r="80" spans="9:17" ht="12.75">
      <c r="I80" s="47"/>
      <c r="M80" s="47"/>
      <c r="Q80" s="47"/>
    </row>
    <row r="81" spans="9:17" ht="12.75">
      <c r="I81" s="47"/>
      <c r="M81" s="47"/>
      <c r="Q81" s="47"/>
    </row>
    <row r="82" spans="9:17" ht="12.75">
      <c r="I82" s="47"/>
      <c r="M82" s="47"/>
      <c r="Q82" s="47"/>
    </row>
    <row r="83" spans="9:17" ht="12.75">
      <c r="I83" s="47"/>
      <c r="M83" s="47"/>
      <c r="Q83" s="47"/>
    </row>
    <row r="84" spans="9:17" ht="12.75">
      <c r="I84" s="47"/>
      <c r="M84" s="47"/>
      <c r="Q84" s="47"/>
    </row>
    <row r="85" spans="9:17" ht="12.75">
      <c r="I85" s="47"/>
      <c r="M85" s="47"/>
      <c r="Q85" s="47"/>
    </row>
    <row r="86" spans="9:17" ht="12.75">
      <c r="I86" s="47"/>
      <c r="M86" s="47"/>
      <c r="Q86" s="47"/>
    </row>
    <row r="87" spans="9:17" ht="12.75">
      <c r="I87" s="47"/>
      <c r="M87" s="47"/>
      <c r="Q87" s="47"/>
    </row>
    <row r="88" spans="9:17" ht="12.75">
      <c r="I88" s="47"/>
      <c r="M88" s="47"/>
      <c r="Q88" s="47"/>
    </row>
    <row r="89" spans="9:17" ht="12.75">
      <c r="I89" s="47"/>
      <c r="M89" s="47"/>
      <c r="Q89" s="47"/>
    </row>
    <row r="90" spans="9:17" ht="12.75">
      <c r="I90" s="47"/>
      <c r="M90" s="47"/>
      <c r="Q90" s="47"/>
    </row>
    <row r="91" spans="9:17" ht="12.75">
      <c r="I91" s="47"/>
      <c r="M91" s="47"/>
      <c r="Q91" s="47"/>
    </row>
    <row r="92" spans="9:17" ht="12.75">
      <c r="I92" s="47"/>
      <c r="M92" s="47"/>
      <c r="Q92" s="47"/>
    </row>
    <row r="93" spans="9:17" ht="12.75">
      <c r="I93" s="47"/>
      <c r="M93" s="47"/>
      <c r="Q93" s="47"/>
    </row>
    <row r="94" spans="9:17" ht="12.75">
      <c r="I94" s="47"/>
      <c r="M94" s="47"/>
      <c r="Q94" s="47"/>
    </row>
    <row r="95" spans="9:17" ht="12.75">
      <c r="I95" s="47"/>
      <c r="M95" s="47"/>
      <c r="Q95" s="47"/>
    </row>
    <row r="96" spans="9:17" ht="12.75">
      <c r="I96" s="47"/>
      <c r="M96" s="47"/>
      <c r="Q96" s="47"/>
    </row>
    <row r="97" spans="9:17" ht="12.75">
      <c r="I97" s="47"/>
      <c r="M97" s="47"/>
      <c r="Q97" s="47"/>
    </row>
    <row r="98" spans="9:17" ht="12.75">
      <c r="I98" s="47"/>
      <c r="M98" s="47"/>
      <c r="Q98" s="47"/>
    </row>
    <row r="99" spans="9:17" ht="12.75">
      <c r="I99" s="47"/>
      <c r="M99" s="47"/>
      <c r="Q99" s="47"/>
    </row>
    <row r="100" spans="9:17" ht="12.75">
      <c r="I100" s="47"/>
      <c r="M100" s="47"/>
      <c r="Q100" s="47"/>
    </row>
    <row r="101" spans="9:17" ht="12.75">
      <c r="I101" s="47"/>
      <c r="M101" s="47"/>
      <c r="Q101" s="47"/>
    </row>
    <row r="102" spans="9:17" ht="12.75">
      <c r="I102" s="47"/>
      <c r="M102" s="47"/>
      <c r="Q102" s="47"/>
    </row>
    <row r="103" spans="9:17" ht="12.75">
      <c r="I103" s="47"/>
      <c r="M103" s="47"/>
      <c r="Q103" s="47"/>
    </row>
    <row r="104" spans="9:17" ht="12.75">
      <c r="I104" s="47"/>
      <c r="M104" s="47"/>
      <c r="Q104" s="47"/>
    </row>
    <row r="105" spans="9:17" ht="12.75">
      <c r="I105" s="47"/>
      <c r="M105" s="47"/>
      <c r="Q105" s="47"/>
    </row>
    <row r="106" spans="9:17" ht="12.75">
      <c r="I106" s="47"/>
      <c r="M106" s="47"/>
      <c r="Q106" s="47"/>
    </row>
    <row r="107" spans="9:17" ht="12.75">
      <c r="I107" s="47"/>
      <c r="M107" s="47"/>
      <c r="Q107" s="47"/>
    </row>
    <row r="108" spans="9:17" ht="12.75">
      <c r="I108" s="47"/>
      <c r="M108" s="47"/>
      <c r="Q108" s="47"/>
    </row>
    <row r="109" spans="9:17" ht="12.75">
      <c r="I109" s="47"/>
      <c r="M109" s="47"/>
      <c r="Q109" s="47"/>
    </row>
    <row r="110" spans="9:17" ht="12.75">
      <c r="I110" s="47"/>
      <c r="M110" s="47"/>
      <c r="Q110" s="47"/>
    </row>
    <row r="111" spans="9:17" ht="12.75">
      <c r="I111" s="47"/>
      <c r="M111" s="47"/>
      <c r="Q111" s="47"/>
    </row>
    <row r="112" spans="9:17" ht="12.75">
      <c r="I112" s="47"/>
      <c r="M112" s="47"/>
      <c r="Q112" s="47"/>
    </row>
    <row r="113" spans="9:17" ht="12.75">
      <c r="I113" s="47"/>
      <c r="M113" s="47"/>
      <c r="Q113" s="47"/>
    </row>
    <row r="114" spans="9:17" ht="12.75">
      <c r="I114" s="47"/>
      <c r="M114" s="47"/>
      <c r="Q114" s="47"/>
    </row>
    <row r="115" spans="9:17" ht="12.75">
      <c r="I115" s="47"/>
      <c r="M115" s="47"/>
      <c r="Q115" s="47"/>
    </row>
    <row r="116" spans="9:17" ht="12.75">
      <c r="I116" s="47"/>
      <c r="M116" s="47"/>
      <c r="Q116" s="47"/>
    </row>
    <row r="117" spans="9:17" ht="12.75">
      <c r="I117" s="47"/>
      <c r="M117" s="47"/>
      <c r="Q117" s="47"/>
    </row>
    <row r="118" spans="9:17" ht="12.75">
      <c r="I118" s="47"/>
      <c r="M118" s="47"/>
      <c r="Q118" s="47"/>
    </row>
    <row r="119" spans="9:17" ht="12.75">
      <c r="I119" s="47"/>
      <c r="M119" s="47"/>
      <c r="Q119" s="47"/>
    </row>
    <row r="120" spans="9:17" ht="12.75">
      <c r="I120" s="47"/>
      <c r="M120" s="47"/>
      <c r="Q120" s="47"/>
    </row>
    <row r="121" spans="9:17" ht="12.75">
      <c r="I121" s="47"/>
      <c r="M121" s="47"/>
      <c r="Q121" s="47"/>
    </row>
    <row r="122" spans="9:17" ht="12.75">
      <c r="I122" s="47"/>
      <c r="M122" s="47"/>
      <c r="Q122" s="47"/>
    </row>
    <row r="123" spans="9:17" ht="12.75">
      <c r="I123" s="47"/>
      <c r="M123" s="47"/>
      <c r="Q123" s="47"/>
    </row>
    <row r="124" spans="9:17" ht="12.75">
      <c r="I124" s="47"/>
      <c r="M124" s="47"/>
      <c r="Q124" s="47"/>
    </row>
    <row r="125" spans="9:17" ht="12.75">
      <c r="I125" s="47"/>
      <c r="M125" s="47"/>
      <c r="Q125" s="47"/>
    </row>
    <row r="126" spans="9:17" ht="12.75">
      <c r="I126" s="47"/>
      <c r="M126" s="47"/>
      <c r="Q126" s="47"/>
    </row>
    <row r="127" spans="9:17" ht="12.75">
      <c r="I127" s="47"/>
      <c r="M127" s="47"/>
      <c r="Q127" s="47"/>
    </row>
    <row r="128" spans="9:17" ht="12.75">
      <c r="I128" s="47"/>
      <c r="M128" s="47"/>
      <c r="Q128" s="47"/>
    </row>
    <row r="129" spans="9:17" ht="12.75">
      <c r="I129" s="47"/>
      <c r="M129" s="47"/>
      <c r="Q129" s="47"/>
    </row>
    <row r="130" spans="9:17" ht="12.75">
      <c r="I130" s="47"/>
      <c r="M130" s="47"/>
      <c r="Q130" s="47"/>
    </row>
    <row r="131" spans="9:17" ht="12.75">
      <c r="I131" s="47"/>
      <c r="M131" s="47"/>
      <c r="Q131" s="47"/>
    </row>
    <row r="132" spans="9:17" ht="12.75">
      <c r="I132" s="47"/>
      <c r="M132" s="47"/>
      <c r="Q132" s="47"/>
    </row>
    <row r="133" spans="9:17" ht="12.75">
      <c r="I133" s="47"/>
      <c r="M133" s="47"/>
      <c r="Q133" s="47"/>
    </row>
    <row r="134" spans="9:17" ht="12.75">
      <c r="I134" s="47"/>
      <c r="M134" s="47"/>
      <c r="Q134" s="47"/>
    </row>
    <row r="135" spans="9:17" ht="12.75">
      <c r="I135" s="47"/>
      <c r="M135" s="47"/>
      <c r="Q135" s="47"/>
    </row>
    <row r="136" spans="13:17" ht="12.75">
      <c r="M136" s="47"/>
      <c r="Q136" s="47"/>
    </row>
    <row r="137" spans="13:17" ht="12.75">
      <c r="M137" s="47"/>
      <c r="Q137" s="47"/>
    </row>
    <row r="138" spans="13:17" ht="12.75">
      <c r="M138" s="47"/>
      <c r="Q138" s="47"/>
    </row>
    <row r="139" spans="13:17" ht="12.75">
      <c r="M139" s="47"/>
      <c r="Q139" s="47"/>
    </row>
    <row r="140" spans="13:17" ht="12.75">
      <c r="M140" s="47"/>
      <c r="Q140" s="47"/>
    </row>
    <row r="141" spans="13:17" ht="12.75">
      <c r="M141" s="47"/>
      <c r="Q141" s="47"/>
    </row>
    <row r="142" spans="13:17" ht="12.75">
      <c r="M142" s="47"/>
      <c r="Q142" s="47"/>
    </row>
    <row r="143" spans="13:17" ht="12.75">
      <c r="M143" s="47"/>
      <c r="Q143" s="47"/>
    </row>
    <row r="144" spans="13:17" ht="12.75">
      <c r="M144" s="47"/>
      <c r="Q144" s="47"/>
    </row>
    <row r="145" spans="13:17" ht="12.75">
      <c r="M145" s="47"/>
      <c r="Q145" s="47"/>
    </row>
    <row r="146" spans="13:17" ht="12.75">
      <c r="M146" s="47"/>
      <c r="Q146" s="47"/>
    </row>
    <row r="147" spans="13:17" ht="12.75">
      <c r="M147" s="47"/>
      <c r="Q147" s="47"/>
    </row>
    <row r="148" spans="13:17" ht="12.75">
      <c r="M148" s="47"/>
      <c r="Q148" s="47"/>
    </row>
    <row r="149" spans="13:17" ht="12.75">
      <c r="M149" s="47"/>
      <c r="Q149" s="47"/>
    </row>
    <row r="150" spans="13:17" ht="12.75">
      <c r="M150" s="47"/>
      <c r="Q150" s="47"/>
    </row>
    <row r="151" spans="13:17" ht="12.75">
      <c r="M151" s="47"/>
      <c r="Q151" s="47"/>
    </row>
    <row r="152" spans="13:17" ht="12.75">
      <c r="M152" s="47"/>
      <c r="Q152" s="47"/>
    </row>
    <row r="153" spans="13:17" ht="12.75">
      <c r="M153" s="47"/>
      <c r="Q153" s="47"/>
    </row>
    <row r="154" spans="13:17" ht="12.75">
      <c r="M154" s="47"/>
      <c r="Q154" s="47"/>
    </row>
    <row r="155" spans="13:17" ht="12.75">
      <c r="M155" s="47"/>
      <c r="Q155" s="47"/>
    </row>
    <row r="156" spans="13:17" ht="12.75">
      <c r="M156" s="47"/>
      <c r="Q156" s="47"/>
    </row>
    <row r="157" spans="13:17" ht="12.75">
      <c r="M157" s="47"/>
      <c r="Q157" s="47"/>
    </row>
    <row r="158" spans="13:17" ht="12.75">
      <c r="M158" s="47"/>
      <c r="Q158" s="47"/>
    </row>
    <row r="159" spans="13:17" ht="12.75">
      <c r="M159" s="47"/>
      <c r="Q159" s="47"/>
    </row>
    <row r="160" spans="13:17" ht="12.75">
      <c r="M160" s="47"/>
      <c r="Q160" s="47"/>
    </row>
    <row r="161" spans="13:17" ht="12.75">
      <c r="M161" s="47"/>
      <c r="Q161" s="47"/>
    </row>
    <row r="162" spans="13:17" ht="12.75">
      <c r="M162" s="47"/>
      <c r="Q162" s="47"/>
    </row>
    <row r="163" spans="13:17" ht="12.75">
      <c r="M163" s="47"/>
      <c r="Q163" s="47"/>
    </row>
    <row r="164" spans="13:17" ht="12.75">
      <c r="M164" s="47"/>
      <c r="Q164" s="47"/>
    </row>
    <row r="165" spans="13:17" ht="12.75">
      <c r="M165" s="47"/>
      <c r="Q165" s="47"/>
    </row>
    <row r="166" spans="13:17" ht="12.75">
      <c r="M166" s="47"/>
      <c r="Q166" s="47"/>
    </row>
    <row r="167" spans="13:17" ht="12.75">
      <c r="M167" s="47"/>
      <c r="Q167" s="47"/>
    </row>
    <row r="168" spans="13:17" ht="12.75">
      <c r="M168" s="47"/>
      <c r="Q168" s="47"/>
    </row>
    <row r="169" spans="13:17" ht="12.75">
      <c r="M169" s="47"/>
      <c r="Q169" s="47"/>
    </row>
    <row r="170" spans="13:17" ht="12.75">
      <c r="M170" s="47"/>
      <c r="Q170" s="47"/>
    </row>
    <row r="171" spans="13:17" ht="12.75">
      <c r="M171" s="47"/>
      <c r="Q171" s="47"/>
    </row>
    <row r="172" spans="13:17" ht="12.75">
      <c r="M172" s="47"/>
      <c r="Q172" s="47"/>
    </row>
    <row r="173" spans="13:17" ht="12.75">
      <c r="M173" s="47"/>
      <c r="Q173" s="47"/>
    </row>
    <row r="174" spans="13:17" ht="12.75">
      <c r="M174" s="47"/>
      <c r="Q174" s="47"/>
    </row>
    <row r="175" spans="13:17" ht="12.75">
      <c r="M175" s="47"/>
      <c r="Q175" s="47"/>
    </row>
    <row r="176" spans="13:17" ht="12.75">
      <c r="M176" s="47"/>
      <c r="Q176" s="47"/>
    </row>
    <row r="177" spans="13:17" ht="12.75">
      <c r="M177" s="47"/>
      <c r="Q177" s="47"/>
    </row>
    <row r="178" spans="13:17" ht="12.75">
      <c r="M178" s="47"/>
      <c r="Q178" s="47"/>
    </row>
    <row r="179" spans="13:17" ht="12.75">
      <c r="M179" s="47"/>
      <c r="Q179" s="47"/>
    </row>
    <row r="180" spans="13:17" ht="12.75">
      <c r="M180" s="47"/>
      <c r="Q180" s="47"/>
    </row>
    <row r="181" spans="13:17" ht="12.75">
      <c r="M181" s="47"/>
      <c r="Q181" s="47"/>
    </row>
    <row r="182" spans="13:17" ht="12.75">
      <c r="M182" s="47"/>
      <c r="Q182" s="47"/>
    </row>
    <row r="183" spans="13:17" ht="12.75">
      <c r="M183" s="47"/>
      <c r="Q183" s="47"/>
    </row>
    <row r="184" spans="13:17" ht="12.75">
      <c r="M184" s="47"/>
      <c r="Q184" s="47"/>
    </row>
    <row r="185" spans="13:17" ht="12.75">
      <c r="M185" s="47"/>
      <c r="Q185" s="47"/>
    </row>
    <row r="186" spans="13:17" ht="12.75">
      <c r="M186" s="47"/>
      <c r="Q186" s="47"/>
    </row>
    <row r="187" spans="13:17" ht="12.75">
      <c r="M187" s="47"/>
      <c r="Q187" s="47"/>
    </row>
    <row r="188" spans="13:17" ht="12.75">
      <c r="M188" s="47"/>
      <c r="Q188" s="47"/>
    </row>
    <row r="189" spans="13:17" ht="12.75">
      <c r="M189" s="47"/>
      <c r="Q189" s="47"/>
    </row>
    <row r="190" spans="13:17" ht="12.75">
      <c r="M190" s="47"/>
      <c r="Q190" s="47"/>
    </row>
    <row r="191" spans="13:17" ht="12.75">
      <c r="M191" s="47"/>
      <c r="Q191" s="47"/>
    </row>
    <row r="192" spans="13:17" ht="12.75">
      <c r="M192" s="47"/>
      <c r="Q192" s="47"/>
    </row>
    <row r="193" spans="13:17" ht="12.75">
      <c r="M193" s="47"/>
      <c r="Q193" s="47"/>
    </row>
    <row r="194" spans="13:17" ht="12.75">
      <c r="M194" s="47"/>
      <c r="Q194" s="47"/>
    </row>
    <row r="195" spans="13:17" ht="12.75">
      <c r="M195" s="47"/>
      <c r="Q195" s="47"/>
    </row>
    <row r="196" spans="13:17" ht="12.75">
      <c r="M196" s="47"/>
      <c r="Q196" s="47"/>
    </row>
    <row r="197" spans="13:17" ht="12.75">
      <c r="M197" s="47"/>
      <c r="Q197" s="47"/>
    </row>
    <row r="198" spans="13:17" ht="12.75">
      <c r="M198" s="47"/>
      <c r="Q198" s="47"/>
    </row>
    <row r="199" spans="13:17" ht="12.75">
      <c r="M199" s="47"/>
      <c r="Q199" s="47"/>
    </row>
    <row r="200" spans="13:17" ht="12.75">
      <c r="M200" s="47"/>
      <c r="Q200" s="47"/>
    </row>
    <row r="201" spans="13:17" ht="12.75">
      <c r="M201" s="47"/>
      <c r="Q201" s="47"/>
    </row>
    <row r="202" spans="13:17" ht="12.75">
      <c r="M202" s="47"/>
      <c r="Q202" s="47"/>
    </row>
    <row r="203" spans="13:17" ht="12.75">
      <c r="M203" s="47"/>
      <c r="Q203" s="47"/>
    </row>
    <row r="204" spans="13:17" ht="12.75">
      <c r="M204" s="47"/>
      <c r="Q204" s="47"/>
    </row>
    <row r="205" spans="13:17" ht="12.75">
      <c r="M205" s="47"/>
      <c r="Q205" s="47"/>
    </row>
    <row r="206" spans="13:17" ht="12.75">
      <c r="M206" s="47"/>
      <c r="Q206" s="47"/>
    </row>
    <row r="207" spans="13:17" ht="12.75">
      <c r="M207" s="47"/>
      <c r="Q207" s="47"/>
    </row>
    <row r="208" spans="13:17" ht="12.75">
      <c r="M208" s="47"/>
      <c r="Q208" s="47"/>
    </row>
    <row r="209" spans="13:17" ht="12.75">
      <c r="M209" s="47"/>
      <c r="Q209" s="47"/>
    </row>
    <row r="210" spans="13:17" ht="12.75">
      <c r="M210" s="47"/>
      <c r="Q210" s="47"/>
    </row>
    <row r="211" spans="13:17" ht="12.75">
      <c r="M211" s="47"/>
      <c r="Q211" s="47"/>
    </row>
    <row r="212" spans="13:17" ht="12.75">
      <c r="M212" s="47"/>
      <c r="Q212" s="47"/>
    </row>
    <row r="213" spans="13:17" ht="12.75">
      <c r="M213" s="47"/>
      <c r="Q213" s="47"/>
    </row>
    <row r="214" spans="13:17" ht="12.75">
      <c r="M214" s="47"/>
      <c r="Q214" s="47"/>
    </row>
    <row r="215" spans="13:17" ht="12.75">
      <c r="M215" s="47"/>
      <c r="Q215" s="47"/>
    </row>
    <row r="216" spans="13:17" ht="12.75">
      <c r="M216" s="47"/>
      <c r="Q216" s="47"/>
    </row>
    <row r="217" spans="13:17" ht="12.75">
      <c r="M217" s="47"/>
      <c r="Q217" s="47"/>
    </row>
    <row r="218" spans="13:17" ht="12.75">
      <c r="M218" s="47"/>
      <c r="Q218" s="47"/>
    </row>
    <row r="219" spans="13:17" ht="12.75">
      <c r="M219" s="47"/>
      <c r="Q219" s="47"/>
    </row>
    <row r="220" spans="13:17" ht="12.75">
      <c r="M220" s="47"/>
      <c r="Q220" s="47"/>
    </row>
    <row r="221" spans="13:17" ht="12.75">
      <c r="M221" s="47"/>
      <c r="Q221" s="47"/>
    </row>
    <row r="222" spans="13:17" ht="12.75">
      <c r="M222" s="47"/>
      <c r="Q222" s="47"/>
    </row>
    <row r="223" spans="13:17" ht="12.75">
      <c r="M223" s="47"/>
      <c r="Q223" s="47"/>
    </row>
    <row r="224" spans="13:17" ht="12.75">
      <c r="M224" s="47"/>
      <c r="Q224" s="47"/>
    </row>
    <row r="225" spans="13:17" ht="12.75">
      <c r="M225" s="47"/>
      <c r="Q225" s="47"/>
    </row>
    <row r="226" spans="13:17" ht="12.75">
      <c r="M226" s="47"/>
      <c r="Q226" s="47"/>
    </row>
    <row r="227" spans="13:17" ht="12.75">
      <c r="M227" s="47"/>
      <c r="Q227" s="47"/>
    </row>
    <row r="228" spans="13:17" ht="12.75">
      <c r="M228" s="47"/>
      <c r="Q228" s="47"/>
    </row>
    <row r="229" spans="13:17" ht="12.75">
      <c r="M229" s="47"/>
      <c r="Q229" s="47"/>
    </row>
    <row r="230" spans="13:17" ht="12.75">
      <c r="M230" s="47"/>
      <c r="Q230" s="47"/>
    </row>
    <row r="231" spans="13:17" ht="12.75">
      <c r="M231" s="47"/>
      <c r="Q231" s="47"/>
    </row>
    <row r="232" spans="13:17" ht="12.75">
      <c r="M232" s="47"/>
      <c r="Q232" s="47"/>
    </row>
    <row r="233" spans="13:17" ht="12.75">
      <c r="M233" s="47"/>
      <c r="Q233" s="47"/>
    </row>
    <row r="234" spans="13:17" ht="12.75">
      <c r="M234" s="47"/>
      <c r="Q234" s="47"/>
    </row>
    <row r="235" spans="13:17" ht="12.75">
      <c r="M235" s="47"/>
      <c r="Q235" s="47"/>
    </row>
    <row r="236" spans="13:17" ht="12.75">
      <c r="M236" s="47"/>
      <c r="Q236" s="47"/>
    </row>
    <row r="237" spans="13:17" ht="12.75">
      <c r="M237" s="47"/>
      <c r="Q237" s="47"/>
    </row>
    <row r="238" spans="13:17" ht="12.75">
      <c r="M238" s="47"/>
      <c r="Q238" s="47"/>
    </row>
    <row r="239" spans="13:17" ht="12.75">
      <c r="M239" s="47"/>
      <c r="Q239" s="47"/>
    </row>
    <row r="240" spans="13:17" ht="12.75">
      <c r="M240" s="47"/>
      <c r="Q240" s="47"/>
    </row>
    <row r="241" spans="13:17" ht="12.75">
      <c r="M241" s="47"/>
      <c r="Q241" s="47"/>
    </row>
    <row r="242" spans="13:17" ht="12.75">
      <c r="M242" s="47"/>
      <c r="Q242" s="47"/>
    </row>
    <row r="243" spans="13:17" ht="12.75">
      <c r="M243" s="47"/>
      <c r="Q243" s="47"/>
    </row>
    <row r="244" spans="13:17" ht="12.75">
      <c r="M244" s="47"/>
      <c r="Q244" s="47"/>
    </row>
    <row r="245" spans="13:17" ht="12.75">
      <c r="M245" s="47"/>
      <c r="Q245" s="47"/>
    </row>
    <row r="246" spans="13:17" ht="12.75">
      <c r="M246" s="47"/>
      <c r="Q246" s="47"/>
    </row>
    <row r="247" spans="13:17" ht="12.75">
      <c r="M247" s="47"/>
      <c r="Q247" s="47"/>
    </row>
    <row r="248" spans="13:17" ht="12.75">
      <c r="M248" s="47"/>
      <c r="Q248" s="47"/>
    </row>
    <row r="249" spans="13:17" ht="12.75">
      <c r="M249" s="47"/>
      <c r="Q249" s="47"/>
    </row>
    <row r="250" spans="13:17" ht="12.75">
      <c r="M250" s="47"/>
      <c r="Q250" s="47"/>
    </row>
    <row r="251" spans="13:17" ht="12.75">
      <c r="M251" s="47"/>
      <c r="Q251" s="47"/>
    </row>
    <row r="252" spans="13:17" ht="12.75">
      <c r="M252" s="47"/>
      <c r="Q252" s="47"/>
    </row>
    <row r="253" spans="13:17" ht="12.75">
      <c r="M253" s="47"/>
      <c r="Q253" s="47"/>
    </row>
    <row r="254" spans="13:17" ht="12.75">
      <c r="M254" s="47"/>
      <c r="Q254" s="47"/>
    </row>
    <row r="255" spans="13:17" ht="12.75">
      <c r="M255" s="47"/>
      <c r="Q255" s="47"/>
    </row>
    <row r="256" spans="13:17" ht="12.75">
      <c r="M256" s="47"/>
      <c r="Q256" s="47"/>
    </row>
    <row r="257" spans="13:17" ht="12.75">
      <c r="M257" s="47"/>
      <c r="Q257" s="47"/>
    </row>
    <row r="258" spans="13:17" ht="12.75">
      <c r="M258" s="47"/>
      <c r="Q258" s="47"/>
    </row>
    <row r="259" spans="13:17" ht="12.75">
      <c r="M259" s="47"/>
      <c r="Q259" s="47"/>
    </row>
    <row r="260" spans="13:17" ht="12.75">
      <c r="M260" s="47"/>
      <c r="Q260" s="47"/>
    </row>
    <row r="261" spans="13:17" ht="12.75">
      <c r="M261" s="47"/>
      <c r="Q261" s="47"/>
    </row>
    <row r="262" spans="13:17" ht="12.75">
      <c r="M262" s="47"/>
      <c r="Q262" s="47"/>
    </row>
    <row r="263" spans="13:17" ht="12.75">
      <c r="M263" s="47"/>
      <c r="Q263" s="47"/>
    </row>
    <row r="264" spans="13:17" ht="12.75">
      <c r="M264" s="47"/>
      <c r="Q264" s="47"/>
    </row>
    <row r="265" spans="13:17" ht="12.75">
      <c r="M265" s="47"/>
      <c r="Q265" s="47"/>
    </row>
    <row r="266" spans="13:17" ht="12.75">
      <c r="M266" s="47"/>
      <c r="Q266" s="47"/>
    </row>
    <row r="267" spans="13:17" ht="12.75">
      <c r="M267" s="47"/>
      <c r="Q267" s="47"/>
    </row>
    <row r="268" spans="13:17" ht="12.75">
      <c r="M268" s="47"/>
      <c r="Q268" s="47"/>
    </row>
    <row r="269" spans="13:17" ht="12.75">
      <c r="M269" s="47"/>
      <c r="Q269" s="47"/>
    </row>
    <row r="270" spans="13:17" ht="12.75">
      <c r="M270" s="47"/>
      <c r="Q270" s="47"/>
    </row>
    <row r="271" spans="13:17" ht="12.75">
      <c r="M271" s="47"/>
      <c r="Q271" s="47"/>
    </row>
    <row r="272" spans="13:17" ht="12.75">
      <c r="M272" s="47"/>
      <c r="Q272" s="47"/>
    </row>
    <row r="273" spans="13:17" ht="12.75">
      <c r="M273" s="47"/>
      <c r="Q273" s="47"/>
    </row>
    <row r="274" spans="13:17" ht="12.75">
      <c r="M274" s="47"/>
      <c r="Q274" s="47"/>
    </row>
    <row r="275" spans="13:17" ht="12.75">
      <c r="M275" s="47"/>
      <c r="Q275" s="47"/>
    </row>
    <row r="276" spans="13:17" ht="12.75">
      <c r="M276" s="47"/>
      <c r="Q276" s="47"/>
    </row>
    <row r="277" spans="13:17" ht="12.75">
      <c r="M277" s="47"/>
      <c r="Q277" s="47"/>
    </row>
    <row r="278" spans="13:17" ht="12.75">
      <c r="M278" s="47"/>
      <c r="Q278" s="47"/>
    </row>
    <row r="279" spans="13:17" ht="12.75">
      <c r="M279" s="47"/>
      <c r="Q279" s="47"/>
    </row>
    <row r="280" spans="13:17" ht="12.75">
      <c r="M280" s="47"/>
      <c r="Q280" s="47"/>
    </row>
    <row r="281" spans="13:17" ht="12.75">
      <c r="M281" s="47"/>
      <c r="Q281" s="47"/>
    </row>
    <row r="282" spans="13:17" ht="12.75">
      <c r="M282" s="47"/>
      <c r="Q282" s="47"/>
    </row>
    <row r="283" spans="13:17" ht="12.75">
      <c r="M283" s="47"/>
      <c r="Q283" s="47"/>
    </row>
    <row r="284" spans="13:17" ht="12.75">
      <c r="M284" s="47"/>
      <c r="Q284" s="47"/>
    </row>
    <row r="285" spans="13:17" ht="12.75">
      <c r="M285" s="47"/>
      <c r="Q285" s="47"/>
    </row>
    <row r="286" spans="13:17" ht="12.75">
      <c r="M286" s="47"/>
      <c r="Q286" s="47"/>
    </row>
    <row r="287" spans="13:17" ht="12.75">
      <c r="M287" s="47"/>
      <c r="Q287" s="47"/>
    </row>
    <row r="288" spans="13:17" ht="12.75">
      <c r="M288" s="47"/>
      <c r="Q288" s="47"/>
    </row>
    <row r="289" spans="13:17" ht="12.75">
      <c r="M289" s="47"/>
      <c r="Q289" s="47"/>
    </row>
    <row r="290" spans="13:17" ht="12.75">
      <c r="M290" s="47"/>
      <c r="Q290" s="47"/>
    </row>
    <row r="291" spans="13:17" ht="12.75">
      <c r="M291" s="47"/>
      <c r="Q291" s="47"/>
    </row>
    <row r="292" spans="13:17" ht="12.75">
      <c r="M292" s="47"/>
      <c r="Q292" s="47"/>
    </row>
    <row r="293" spans="13:17" ht="12.75">
      <c r="M293" s="47"/>
      <c r="Q293" s="47"/>
    </row>
    <row r="294" spans="13:17" ht="12.75">
      <c r="M294" s="47"/>
      <c r="Q294" s="47"/>
    </row>
    <row r="295" spans="13:17" ht="12.75">
      <c r="M295" s="47"/>
      <c r="Q295" s="47"/>
    </row>
    <row r="296" spans="13:17" ht="12.75">
      <c r="M296" s="47"/>
      <c r="Q296" s="47"/>
    </row>
    <row r="297" spans="13:17" ht="12.75">
      <c r="M297" s="47"/>
      <c r="Q297" s="47"/>
    </row>
    <row r="298" spans="13:17" ht="12.75">
      <c r="M298" s="47"/>
      <c r="Q298" s="47"/>
    </row>
    <row r="299" spans="13:17" ht="12.75">
      <c r="M299" s="47"/>
      <c r="Q299" s="47"/>
    </row>
    <row r="300" spans="13:17" ht="12.75">
      <c r="M300" s="47"/>
      <c r="Q300" s="47"/>
    </row>
    <row r="301" spans="13:17" ht="12.75">
      <c r="M301" s="47"/>
      <c r="Q301" s="47"/>
    </row>
    <row r="302" spans="13:17" ht="12.75">
      <c r="M302" s="47"/>
      <c r="Q302" s="47"/>
    </row>
    <row r="303" spans="13:17" ht="12.75">
      <c r="M303" s="47"/>
      <c r="Q303" s="47"/>
    </row>
    <row r="304" spans="13:17" ht="12.75">
      <c r="M304" s="47"/>
      <c r="Q304" s="47"/>
    </row>
    <row r="305" spans="13:17" ht="12.75">
      <c r="M305" s="47"/>
      <c r="Q305" s="47"/>
    </row>
    <row r="306" spans="13:17" ht="12.75">
      <c r="M306" s="47"/>
      <c r="Q306" s="47"/>
    </row>
    <row r="307" spans="13:17" ht="12.75">
      <c r="M307" s="47"/>
      <c r="Q307" s="47"/>
    </row>
    <row r="308" spans="13:17" ht="12.75">
      <c r="M308" s="47"/>
      <c r="Q308" s="47"/>
    </row>
    <row r="309" spans="13:17" ht="12.75">
      <c r="M309" s="47"/>
      <c r="Q309" s="47"/>
    </row>
    <row r="310" spans="13:17" ht="12.75">
      <c r="M310" s="47"/>
      <c r="Q310" s="47"/>
    </row>
    <row r="311" spans="13:17" ht="12.75">
      <c r="M311" s="47"/>
      <c r="Q311" s="47"/>
    </row>
    <row r="312" spans="13:17" ht="12.75">
      <c r="M312" s="47"/>
      <c r="Q312" s="47"/>
    </row>
    <row r="313" spans="13:17" ht="12.75">
      <c r="M313" s="47"/>
      <c r="Q313" s="47"/>
    </row>
    <row r="314" spans="13:17" ht="12.75">
      <c r="M314" s="47"/>
      <c r="Q314" s="47"/>
    </row>
    <row r="315" spans="13:17" ht="12.75">
      <c r="M315" s="47"/>
      <c r="Q315" s="47"/>
    </row>
    <row r="316" spans="13:17" ht="12.75">
      <c r="M316" s="47"/>
      <c r="Q316" s="47"/>
    </row>
    <row r="317" spans="13:17" ht="12.75">
      <c r="M317" s="47"/>
      <c r="Q317" s="47"/>
    </row>
    <row r="318" spans="13:17" ht="12.75">
      <c r="M318" s="47"/>
      <c r="Q318" s="47"/>
    </row>
    <row r="319" spans="13:17" ht="12.75">
      <c r="M319" s="47"/>
      <c r="Q319" s="47"/>
    </row>
    <row r="320" spans="13:17" ht="12.75">
      <c r="M320" s="47"/>
      <c r="Q320" s="47"/>
    </row>
    <row r="321" spans="13:17" ht="12.75">
      <c r="M321" s="47"/>
      <c r="Q321" s="47"/>
    </row>
    <row r="322" spans="13:17" ht="12.75">
      <c r="M322" s="47"/>
      <c r="Q322" s="47"/>
    </row>
    <row r="323" spans="13:17" ht="12.75">
      <c r="M323" s="47"/>
      <c r="Q323" s="47"/>
    </row>
    <row r="324" spans="13:17" ht="12.75">
      <c r="M324" s="47"/>
      <c r="Q324" s="47"/>
    </row>
    <row r="325" spans="13:17" ht="12.75">
      <c r="M325" s="47"/>
      <c r="Q325" s="47"/>
    </row>
    <row r="326" spans="13:17" ht="12.75">
      <c r="M326" s="47"/>
      <c r="Q326" s="47"/>
    </row>
    <row r="327" spans="13:17" ht="12.75">
      <c r="M327" s="47"/>
      <c r="Q327" s="47"/>
    </row>
    <row r="328" spans="13:17" ht="12.75">
      <c r="M328" s="47"/>
      <c r="Q328" s="47"/>
    </row>
    <row r="329" spans="13:17" ht="12.75">
      <c r="M329" s="47"/>
      <c r="Q329" s="47"/>
    </row>
    <row r="330" spans="13:17" ht="12.75">
      <c r="M330" s="47"/>
      <c r="Q330" s="47"/>
    </row>
    <row r="331" spans="13:17" ht="12.75">
      <c r="M331" s="47"/>
      <c r="Q331" s="47"/>
    </row>
    <row r="332" spans="13:17" ht="12.75">
      <c r="M332" s="47"/>
      <c r="Q332" s="47"/>
    </row>
    <row r="333" spans="13:17" ht="12.75">
      <c r="M333" s="47"/>
      <c r="Q333" s="47"/>
    </row>
    <row r="334" spans="13:17" ht="12.75">
      <c r="M334" s="47"/>
      <c r="Q334" s="47"/>
    </row>
    <row r="335" spans="13:17" ht="12.75">
      <c r="M335" s="47"/>
      <c r="Q335" s="47"/>
    </row>
    <row r="336" spans="13:17" ht="12.75">
      <c r="M336" s="47"/>
      <c r="Q336" s="47"/>
    </row>
    <row r="337" spans="13:17" ht="12.75">
      <c r="M337" s="47"/>
      <c r="Q337" s="47"/>
    </row>
    <row r="338" spans="13:17" ht="12.75">
      <c r="M338" s="47"/>
      <c r="Q338" s="47"/>
    </row>
    <row r="339" spans="13:17" ht="12.75">
      <c r="M339" s="47"/>
      <c r="Q339" s="47"/>
    </row>
    <row r="340" spans="13:17" ht="12.75">
      <c r="M340" s="47"/>
      <c r="Q340" s="47"/>
    </row>
    <row r="341" spans="13:17" ht="12.75">
      <c r="M341" s="47"/>
      <c r="Q341" s="47"/>
    </row>
    <row r="342" spans="13:17" ht="12.75">
      <c r="M342" s="47"/>
      <c r="Q342" s="47"/>
    </row>
    <row r="343" spans="13:17" ht="12.75">
      <c r="M343" s="47"/>
      <c r="Q343" s="47"/>
    </row>
    <row r="344" spans="13:17" ht="12.75">
      <c r="M344" s="47"/>
      <c r="Q344" s="47"/>
    </row>
    <row r="345" spans="13:17" ht="12.75">
      <c r="M345" s="47"/>
      <c r="Q345" s="47"/>
    </row>
    <row r="346" spans="13:17" ht="12.75">
      <c r="M346" s="47"/>
      <c r="Q346" s="47"/>
    </row>
    <row r="347" spans="13:17" ht="12.75">
      <c r="M347" s="47"/>
      <c r="Q347" s="47"/>
    </row>
    <row r="348" spans="13:17" ht="12.75">
      <c r="M348" s="47"/>
      <c r="Q348" s="47"/>
    </row>
    <row r="349" spans="13:17" ht="12.75">
      <c r="M349" s="47"/>
      <c r="Q349" s="47"/>
    </row>
    <row r="350" spans="13:17" ht="12.75">
      <c r="M350" s="47"/>
      <c r="Q350" s="47"/>
    </row>
    <row r="351" spans="13:17" ht="12.75">
      <c r="M351" s="47"/>
      <c r="Q351" s="47"/>
    </row>
    <row r="352" spans="13:17" ht="12.75">
      <c r="M352" s="47"/>
      <c r="Q352" s="47"/>
    </row>
    <row r="353" spans="13:17" ht="12.75">
      <c r="M353" s="47"/>
      <c r="Q353" s="47"/>
    </row>
    <row r="354" spans="13:17" ht="12.75">
      <c r="M354" s="47"/>
      <c r="Q354" s="47"/>
    </row>
    <row r="355" spans="13:17" ht="12.75">
      <c r="M355" s="47"/>
      <c r="Q355" s="47"/>
    </row>
    <row r="356" spans="13:17" ht="12.75">
      <c r="M356" s="47"/>
      <c r="Q356" s="47"/>
    </row>
    <row r="357" spans="13:17" ht="12.75">
      <c r="M357" s="47"/>
      <c r="Q357" s="47"/>
    </row>
    <row r="358" spans="13:17" ht="12.75">
      <c r="M358" s="47"/>
      <c r="Q358" s="47"/>
    </row>
    <row r="359" spans="13:17" ht="12.75">
      <c r="M359" s="47"/>
      <c r="Q359" s="47"/>
    </row>
    <row r="360" spans="13:17" ht="12.75">
      <c r="M360" s="47"/>
      <c r="Q360" s="47"/>
    </row>
    <row r="361" spans="13:17" ht="12.75">
      <c r="M361" s="47"/>
      <c r="Q361" s="47"/>
    </row>
    <row r="362" spans="13:17" ht="12.75">
      <c r="M362" s="47"/>
      <c r="Q362" s="47"/>
    </row>
    <row r="363" spans="13:17" ht="12.75">
      <c r="M363" s="47"/>
      <c r="Q363" s="47"/>
    </row>
    <row r="364" spans="13:17" ht="12.75">
      <c r="M364" s="47"/>
      <c r="Q364" s="47"/>
    </row>
    <row r="365" spans="13:17" ht="12.75">
      <c r="M365" s="47"/>
      <c r="Q365" s="47"/>
    </row>
    <row r="366" spans="13:17" ht="12.75">
      <c r="M366" s="47"/>
      <c r="Q366" s="47"/>
    </row>
    <row r="367" spans="13:17" ht="12.75">
      <c r="M367" s="47"/>
      <c r="Q367" s="47"/>
    </row>
    <row r="368" spans="13:17" ht="12.75">
      <c r="M368" s="47"/>
      <c r="Q368" s="47"/>
    </row>
    <row r="369" spans="13:17" ht="12.75">
      <c r="M369" s="47"/>
      <c r="Q369" s="47"/>
    </row>
    <row r="370" spans="13:17" ht="12.75">
      <c r="M370" s="47"/>
      <c r="Q370" s="47"/>
    </row>
    <row r="371" spans="13:17" ht="12.75">
      <c r="M371" s="47"/>
      <c r="Q371" s="47"/>
    </row>
    <row r="372" spans="13:17" ht="12.75">
      <c r="M372" s="47"/>
      <c r="Q372" s="47"/>
    </row>
    <row r="373" spans="13:17" ht="12.75">
      <c r="M373" s="47"/>
      <c r="Q373" s="47"/>
    </row>
    <row r="374" spans="13:17" ht="12.75">
      <c r="M374" s="47"/>
      <c r="Q374" s="47"/>
    </row>
    <row r="375" spans="13:17" ht="12.75">
      <c r="M375" s="47"/>
      <c r="Q375" s="47"/>
    </row>
    <row r="376" spans="13:17" ht="12.75">
      <c r="M376" s="47"/>
      <c r="Q376" s="47"/>
    </row>
    <row r="377" spans="13:17" ht="12.75">
      <c r="M377" s="47"/>
      <c r="Q377" s="47"/>
    </row>
    <row r="378" spans="13:17" ht="12.75">
      <c r="M378" s="47"/>
      <c r="Q378" s="47"/>
    </row>
    <row r="379" spans="13:17" ht="12.75">
      <c r="M379" s="47"/>
      <c r="Q379" s="47"/>
    </row>
    <row r="380" spans="13:17" ht="12.75">
      <c r="M380" s="47"/>
      <c r="Q380" s="47"/>
    </row>
    <row r="381" spans="13:17" ht="12.75">
      <c r="M381" s="47"/>
      <c r="Q381" s="47"/>
    </row>
    <row r="382" spans="13:17" ht="12.75">
      <c r="M382" s="47"/>
      <c r="Q382" s="47"/>
    </row>
    <row r="383" spans="13:17" ht="12.75">
      <c r="M383" s="47"/>
      <c r="Q383" s="47"/>
    </row>
    <row r="384" spans="13:17" ht="12.75">
      <c r="M384" s="47"/>
      <c r="Q384" s="47"/>
    </row>
    <row r="385" spans="13:17" ht="12.75">
      <c r="M385" s="47"/>
      <c r="Q385" s="47"/>
    </row>
    <row r="386" spans="13:17" ht="12.75">
      <c r="M386" s="47"/>
      <c r="Q386" s="47"/>
    </row>
    <row r="387" spans="13:17" ht="12.75">
      <c r="M387" s="47"/>
      <c r="Q387" s="47"/>
    </row>
    <row r="388" spans="13:17" ht="12.75">
      <c r="M388" s="47"/>
      <c r="Q388" s="47"/>
    </row>
    <row r="389" spans="13:17" ht="12.75">
      <c r="M389" s="47"/>
      <c r="Q389" s="47"/>
    </row>
    <row r="390" spans="13:17" ht="12.75">
      <c r="M390" s="47"/>
      <c r="Q390" s="47"/>
    </row>
    <row r="391" spans="13:17" ht="12.75">
      <c r="M391" s="47"/>
      <c r="Q391" s="47"/>
    </row>
    <row r="392" spans="13:17" ht="12.75">
      <c r="M392" s="47"/>
      <c r="Q392" s="47"/>
    </row>
    <row r="393" spans="13:17" ht="12.75">
      <c r="M393" s="47"/>
      <c r="Q393" s="47"/>
    </row>
    <row r="394" spans="13:17" ht="12.75">
      <c r="M394" s="47"/>
      <c r="Q394" s="47"/>
    </row>
    <row r="395" spans="13:17" ht="12.75">
      <c r="M395" s="47"/>
      <c r="Q395" s="47"/>
    </row>
    <row r="396" spans="13:17" ht="12.75">
      <c r="M396" s="47"/>
      <c r="Q396" s="47"/>
    </row>
    <row r="397" spans="13:17" ht="12.75">
      <c r="M397" s="47"/>
      <c r="Q397" s="47"/>
    </row>
    <row r="398" spans="13:17" ht="12.75">
      <c r="M398" s="47"/>
      <c r="Q398" s="47"/>
    </row>
    <row r="399" spans="13:17" ht="12.75">
      <c r="M399" s="47"/>
      <c r="Q399" s="47"/>
    </row>
    <row r="400" spans="13:17" ht="12.75">
      <c r="M400" s="47"/>
      <c r="Q400" s="47"/>
    </row>
    <row r="401" spans="13:17" ht="12.75">
      <c r="M401" s="47"/>
      <c r="Q401" s="47"/>
    </row>
    <row r="402" spans="13:17" ht="12.75">
      <c r="M402" s="47"/>
      <c r="Q402" s="47"/>
    </row>
    <row r="403" spans="13:17" ht="12.75">
      <c r="M403" s="47"/>
      <c r="Q403" s="47"/>
    </row>
    <row r="404" spans="13:17" ht="12.75">
      <c r="M404" s="47"/>
      <c r="Q404" s="47"/>
    </row>
    <row r="405" spans="13:17" ht="12.75">
      <c r="M405" s="47"/>
      <c r="Q405" s="47"/>
    </row>
    <row r="406" spans="13:17" ht="12.75">
      <c r="M406" s="47"/>
      <c r="Q406" s="47"/>
    </row>
    <row r="407" spans="13:17" ht="12.75">
      <c r="M407" s="47"/>
      <c r="Q407" s="47"/>
    </row>
    <row r="408" spans="13:17" ht="12.75">
      <c r="M408" s="47"/>
      <c r="Q408" s="47"/>
    </row>
    <row r="409" spans="13:17" ht="12.75">
      <c r="M409" s="47"/>
      <c r="Q409" s="47"/>
    </row>
    <row r="410" spans="13:17" ht="12.75">
      <c r="M410" s="47"/>
      <c r="Q410" s="47"/>
    </row>
    <row r="411" spans="13:17" ht="12.75">
      <c r="M411" s="47"/>
      <c r="Q411" s="47"/>
    </row>
    <row r="412" spans="13:17" ht="12.75">
      <c r="M412" s="47"/>
      <c r="Q412" s="47"/>
    </row>
    <row r="413" spans="13:17" ht="12.75">
      <c r="M413" s="47"/>
      <c r="Q413" s="47"/>
    </row>
    <row r="414" spans="13:17" ht="12.75">
      <c r="M414" s="47"/>
      <c r="Q414" s="47"/>
    </row>
    <row r="415" spans="13:17" ht="12.75">
      <c r="M415" s="47"/>
      <c r="Q415" s="47"/>
    </row>
    <row r="416" spans="13:17" ht="12.75">
      <c r="M416" s="47"/>
      <c r="Q416" s="47"/>
    </row>
    <row r="417" spans="13:17" ht="12.75">
      <c r="M417" s="47"/>
      <c r="Q417" s="47"/>
    </row>
    <row r="418" spans="13:17" ht="12.75">
      <c r="M418" s="47"/>
      <c r="Q418" s="47"/>
    </row>
    <row r="419" spans="13:17" ht="12.75">
      <c r="M419" s="47"/>
      <c r="Q419" s="47"/>
    </row>
    <row r="420" spans="13:17" ht="12.75">
      <c r="M420" s="47"/>
      <c r="Q420" s="47"/>
    </row>
    <row r="421" spans="13:17" ht="12.75">
      <c r="M421" s="47"/>
      <c r="Q421" s="47"/>
    </row>
    <row r="422" spans="13:17" ht="12.75">
      <c r="M422" s="47"/>
      <c r="Q422" s="47"/>
    </row>
    <row r="423" spans="13:17" ht="12.75">
      <c r="M423" s="47"/>
      <c r="Q423" s="47"/>
    </row>
    <row r="424" spans="13:17" ht="12.75">
      <c r="M424" s="47"/>
      <c r="Q424" s="47"/>
    </row>
    <row r="425" spans="13:17" ht="12.75">
      <c r="M425" s="47"/>
      <c r="Q425" s="47"/>
    </row>
    <row r="426" spans="13:17" ht="12.75">
      <c r="M426" s="47"/>
      <c r="Q426" s="47"/>
    </row>
    <row r="427" spans="13:17" ht="12.75">
      <c r="M427" s="47"/>
      <c r="Q427" s="47"/>
    </row>
    <row r="428" spans="13:17" ht="12.75">
      <c r="M428" s="47"/>
      <c r="Q428" s="47"/>
    </row>
    <row r="429" spans="13:17" ht="12.75">
      <c r="M429" s="47"/>
      <c r="Q429" s="47"/>
    </row>
    <row r="430" spans="13:17" ht="12.75">
      <c r="M430" s="47"/>
      <c r="Q430" s="47"/>
    </row>
    <row r="431" spans="13:17" ht="12.75">
      <c r="M431" s="47"/>
      <c r="Q431" s="47"/>
    </row>
    <row r="432" spans="13:17" ht="12.75">
      <c r="M432" s="47"/>
      <c r="Q432" s="47"/>
    </row>
    <row r="433" spans="13:17" ht="12.75">
      <c r="M433" s="47"/>
      <c r="Q433" s="47"/>
    </row>
    <row r="434" spans="13:17" ht="12.75">
      <c r="M434" s="47"/>
      <c r="Q434" s="47"/>
    </row>
    <row r="435" spans="13:17" ht="12.75">
      <c r="M435" s="47"/>
      <c r="Q435" s="47"/>
    </row>
    <row r="436" spans="13:17" ht="12.75">
      <c r="M436" s="47"/>
      <c r="Q436" s="47"/>
    </row>
    <row r="437" spans="13:17" ht="12.75">
      <c r="M437" s="47"/>
      <c r="Q437" s="47"/>
    </row>
    <row r="438" spans="13:17" ht="12.75">
      <c r="M438" s="47"/>
      <c r="Q438" s="47"/>
    </row>
    <row r="439" spans="13:17" ht="12.75">
      <c r="M439" s="47"/>
      <c r="Q439" s="47"/>
    </row>
    <row r="440" spans="13:17" ht="12.75">
      <c r="M440" s="47"/>
      <c r="Q440" s="47"/>
    </row>
    <row r="441" spans="13:17" ht="12.75">
      <c r="M441" s="47"/>
      <c r="Q441" s="47"/>
    </row>
    <row r="442" spans="13:17" ht="12.75">
      <c r="M442" s="47"/>
      <c r="Q442" s="47"/>
    </row>
    <row r="443" spans="13:17" ht="12.75">
      <c r="M443" s="47"/>
      <c r="Q443" s="47"/>
    </row>
    <row r="444" spans="13:17" ht="12.75">
      <c r="M444" s="47"/>
      <c r="Q444" s="47"/>
    </row>
    <row r="445" spans="13:17" ht="12.75">
      <c r="M445" s="47"/>
      <c r="Q445" s="47"/>
    </row>
    <row r="446" spans="13:17" ht="12.75">
      <c r="M446" s="47"/>
      <c r="Q446" s="47"/>
    </row>
    <row r="447" spans="13:17" ht="12.75">
      <c r="M447" s="47"/>
      <c r="Q447" s="47"/>
    </row>
    <row r="448" spans="13:17" ht="12.75">
      <c r="M448" s="47"/>
      <c r="Q448" s="47"/>
    </row>
    <row r="449" spans="13:17" ht="12.75">
      <c r="M449" s="47"/>
      <c r="Q449" s="47"/>
    </row>
    <row r="450" spans="13:17" ht="12.75">
      <c r="M450" s="47"/>
      <c r="Q450" s="47"/>
    </row>
    <row r="451" spans="13:17" ht="12.75">
      <c r="M451" s="47"/>
      <c r="Q451" s="47"/>
    </row>
    <row r="452" spans="13:17" ht="12.75">
      <c r="M452" s="47"/>
      <c r="Q452" s="47"/>
    </row>
    <row r="453" spans="13:17" ht="12.75">
      <c r="M453" s="47"/>
      <c r="Q453" s="47"/>
    </row>
    <row r="454" spans="13:17" ht="12.75">
      <c r="M454" s="47"/>
      <c r="Q454" s="47"/>
    </row>
    <row r="455" spans="13:17" ht="12.75">
      <c r="M455" s="47"/>
      <c r="Q455" s="47"/>
    </row>
    <row r="456" spans="13:17" ht="12.75">
      <c r="M456" s="47"/>
      <c r="Q456" s="47"/>
    </row>
    <row r="457" spans="13:17" ht="12.75">
      <c r="M457" s="47"/>
      <c r="Q457" s="47"/>
    </row>
    <row r="458" spans="13:17" ht="12.75">
      <c r="M458" s="47"/>
      <c r="Q458" s="47"/>
    </row>
    <row r="459" spans="13:17" ht="12.75">
      <c r="M459" s="47"/>
      <c r="Q459" s="47"/>
    </row>
    <row r="460" spans="13:17" ht="12.75">
      <c r="M460" s="47"/>
      <c r="Q460" s="47"/>
    </row>
    <row r="461" spans="13:17" ht="12.75">
      <c r="M461" s="47"/>
      <c r="Q461" s="47"/>
    </row>
    <row r="462" spans="13:17" ht="12.75">
      <c r="M462" s="47"/>
      <c r="Q462" s="47"/>
    </row>
    <row r="463" spans="13:17" ht="12.75">
      <c r="M463" s="47"/>
      <c r="Q463" s="47"/>
    </row>
    <row r="464" spans="13:17" ht="12.75">
      <c r="M464" s="47"/>
      <c r="Q464" s="47"/>
    </row>
    <row r="465" spans="13:17" ht="12.75">
      <c r="M465" s="47"/>
      <c r="Q465" s="47"/>
    </row>
    <row r="466" spans="13:17" ht="12.75">
      <c r="M466" s="47"/>
      <c r="Q466" s="47"/>
    </row>
    <row r="467" spans="13:17" ht="12.75">
      <c r="M467" s="47"/>
      <c r="Q467" s="47"/>
    </row>
    <row r="468" spans="13:17" ht="12.75">
      <c r="M468" s="47"/>
      <c r="Q468" s="47"/>
    </row>
    <row r="469" spans="13:17" ht="12.75">
      <c r="M469" s="47"/>
      <c r="Q469" s="47"/>
    </row>
    <row r="470" spans="13:17" ht="12.75">
      <c r="M470" s="47"/>
      <c r="Q470" s="47"/>
    </row>
    <row r="471" spans="13:17" ht="12.75">
      <c r="M471" s="47"/>
      <c r="Q471" s="47"/>
    </row>
    <row r="472" spans="13:17" ht="12.75">
      <c r="M472" s="47"/>
      <c r="Q472" s="47"/>
    </row>
    <row r="473" spans="13:17" ht="12.75">
      <c r="M473" s="47"/>
      <c r="Q473" s="47"/>
    </row>
    <row r="474" spans="13:17" ht="12.75">
      <c r="M474" s="47"/>
      <c r="Q474" s="47"/>
    </row>
    <row r="475" spans="13:17" ht="12.75">
      <c r="M475" s="47"/>
      <c r="Q475" s="47"/>
    </row>
    <row r="476" spans="13:17" ht="12.75">
      <c r="M476" s="47"/>
      <c r="Q476" s="47"/>
    </row>
    <row r="477" spans="13:17" ht="12.75">
      <c r="M477" s="47"/>
      <c r="Q477" s="47"/>
    </row>
    <row r="478" spans="13:17" ht="12.75">
      <c r="M478" s="47"/>
      <c r="Q478" s="47"/>
    </row>
    <row r="479" spans="13:17" ht="12.75">
      <c r="M479" s="47"/>
      <c r="Q479" s="47"/>
    </row>
    <row r="480" spans="13:17" ht="12.75">
      <c r="M480" s="47"/>
      <c r="Q480" s="47"/>
    </row>
    <row r="481" spans="13:17" ht="12.75">
      <c r="M481" s="47"/>
      <c r="Q481" s="47"/>
    </row>
    <row r="482" spans="13:17" ht="12.75">
      <c r="M482" s="47"/>
      <c r="Q482" s="47"/>
    </row>
    <row r="483" spans="13:17" ht="12.75">
      <c r="M483" s="47"/>
      <c r="Q483" s="47"/>
    </row>
    <row r="484" spans="13:17" ht="12.75">
      <c r="M484" s="47"/>
      <c r="Q484" s="47"/>
    </row>
    <row r="485" spans="13:17" ht="12.75">
      <c r="M485" s="47"/>
      <c r="Q485" s="47"/>
    </row>
    <row r="486" spans="13:17" ht="12.75">
      <c r="M486" s="47"/>
      <c r="Q486" s="47"/>
    </row>
    <row r="487" spans="13:17" ht="12.75">
      <c r="M487" s="47"/>
      <c r="Q487" s="47"/>
    </row>
    <row r="488" spans="13:17" ht="12.75">
      <c r="M488" s="47"/>
      <c r="Q488" s="47"/>
    </row>
    <row r="489" spans="13:17" ht="12.75">
      <c r="M489" s="47"/>
      <c r="Q489" s="47"/>
    </row>
    <row r="490" spans="13:17" ht="12.75">
      <c r="M490" s="47"/>
      <c r="Q490" s="47"/>
    </row>
    <row r="491" spans="13:17" ht="12.75">
      <c r="M491" s="47"/>
      <c r="Q491" s="47"/>
    </row>
    <row r="492" spans="13:17" ht="12.75">
      <c r="M492" s="47"/>
      <c r="Q492" s="47"/>
    </row>
    <row r="493" spans="13:17" ht="12.75">
      <c r="M493" s="47"/>
      <c r="Q493" s="47"/>
    </row>
    <row r="494" spans="13:17" ht="12.75">
      <c r="M494" s="47"/>
      <c r="Q494" s="47"/>
    </row>
    <row r="495" spans="13:17" ht="12.75">
      <c r="M495" s="47"/>
      <c r="Q495" s="47"/>
    </row>
    <row r="496" spans="13:17" ht="12.75">
      <c r="M496" s="47"/>
      <c r="Q496" s="47"/>
    </row>
    <row r="497" spans="13:17" ht="12.75">
      <c r="M497" s="47"/>
      <c r="Q497" s="47"/>
    </row>
    <row r="498" spans="13:17" ht="12.75">
      <c r="M498" s="47"/>
      <c r="Q498" s="47"/>
    </row>
    <row r="499" spans="13:17" ht="12.75">
      <c r="M499" s="47"/>
      <c r="Q499" s="47"/>
    </row>
    <row r="500" spans="13:17" ht="12.75">
      <c r="M500" s="47"/>
      <c r="Q500" s="47"/>
    </row>
    <row r="501" spans="13:17" ht="12.75">
      <c r="M501" s="47"/>
      <c r="Q501" s="47"/>
    </row>
    <row r="502" spans="13:17" ht="12.75">
      <c r="M502" s="47"/>
      <c r="Q502" s="47"/>
    </row>
    <row r="503" spans="13:17" ht="12.75">
      <c r="M503" s="47"/>
      <c r="Q503" s="47"/>
    </row>
    <row r="504" spans="13:17" ht="12.75">
      <c r="M504" s="47"/>
      <c r="Q504" s="47"/>
    </row>
    <row r="505" spans="13:17" ht="12.75">
      <c r="M505" s="47"/>
      <c r="Q505" s="47"/>
    </row>
    <row r="506" spans="13:17" ht="12.75">
      <c r="M506" s="47"/>
      <c r="Q506" s="47"/>
    </row>
    <row r="507" spans="13:17" ht="12.75">
      <c r="M507" s="47"/>
      <c r="Q507" s="47"/>
    </row>
    <row r="508" spans="13:17" ht="12.75">
      <c r="M508" s="47"/>
      <c r="Q508" s="47"/>
    </row>
    <row r="509" spans="13:17" ht="12.75">
      <c r="M509" s="47"/>
      <c r="Q509" s="47"/>
    </row>
    <row r="510" spans="13:17" ht="12.75">
      <c r="M510" s="47"/>
      <c r="Q510" s="47"/>
    </row>
    <row r="511" spans="13:17" ht="12.75">
      <c r="M511" s="47"/>
      <c r="Q511" s="47"/>
    </row>
    <row r="512" spans="13:17" ht="12.75">
      <c r="M512" s="47"/>
      <c r="Q512" s="47"/>
    </row>
    <row r="513" spans="13:17" ht="12.75">
      <c r="M513" s="47"/>
      <c r="Q513" s="47"/>
    </row>
    <row r="514" spans="13:17" ht="12.75">
      <c r="M514" s="47"/>
      <c r="Q514" s="47"/>
    </row>
    <row r="515" spans="13:17" ht="12.75">
      <c r="M515" s="47"/>
      <c r="Q515" s="47"/>
    </row>
    <row r="516" spans="13:17" ht="12.75">
      <c r="M516" s="47"/>
      <c r="Q516" s="47"/>
    </row>
    <row r="517" spans="13:17" ht="12.75">
      <c r="M517" s="47"/>
      <c r="Q517" s="47"/>
    </row>
    <row r="518" spans="13:17" ht="12.75">
      <c r="M518" s="47"/>
      <c r="Q518" s="47"/>
    </row>
    <row r="519" spans="13:17" ht="12.75">
      <c r="M519" s="47"/>
      <c r="Q519" s="47"/>
    </row>
    <row r="520" spans="13:17" ht="12.75">
      <c r="M520" s="47"/>
      <c r="Q520" s="47"/>
    </row>
    <row r="521" spans="13:17" ht="12.75">
      <c r="M521" s="47"/>
      <c r="Q521" s="47"/>
    </row>
    <row r="522" spans="13:17" ht="12.75">
      <c r="M522" s="47"/>
      <c r="Q522" s="47"/>
    </row>
    <row r="523" spans="13:17" ht="12.75">
      <c r="M523" s="47"/>
      <c r="Q523" s="47"/>
    </row>
    <row r="524" spans="13:17" ht="12.75">
      <c r="M524" s="47"/>
      <c r="Q524" s="47"/>
    </row>
    <row r="525" spans="13:17" ht="12.75">
      <c r="M525" s="47"/>
      <c r="Q525" s="47"/>
    </row>
    <row r="526" spans="13:17" ht="12.75">
      <c r="M526" s="47"/>
      <c r="Q526" s="47"/>
    </row>
    <row r="527" spans="13:17" ht="12.75">
      <c r="M527" s="47"/>
      <c r="Q527" s="47"/>
    </row>
    <row r="528" spans="13:17" ht="12.75">
      <c r="M528" s="47"/>
      <c r="Q528" s="47"/>
    </row>
    <row r="529" spans="13:17" ht="12.75">
      <c r="M529" s="47"/>
      <c r="Q529" s="47"/>
    </row>
    <row r="530" spans="13:17" ht="12.75">
      <c r="M530" s="47"/>
      <c r="Q530" s="47"/>
    </row>
    <row r="531" spans="13:17" ht="12.75">
      <c r="M531" s="47"/>
      <c r="Q531" s="47"/>
    </row>
    <row r="532" spans="13:17" ht="12.75">
      <c r="M532" s="47"/>
      <c r="Q532" s="47"/>
    </row>
    <row r="533" spans="13:17" ht="12.75">
      <c r="M533" s="47"/>
      <c r="Q533" s="47"/>
    </row>
    <row r="534" spans="13:17" ht="12.75">
      <c r="M534" s="47"/>
      <c r="Q534" s="47"/>
    </row>
    <row r="535" spans="13:17" ht="12.75">
      <c r="M535" s="47"/>
      <c r="Q535" s="47"/>
    </row>
    <row r="536" spans="13:17" ht="12.75">
      <c r="M536" s="47"/>
      <c r="Q536" s="47"/>
    </row>
    <row r="537" spans="13:17" ht="12.75">
      <c r="M537" s="47"/>
      <c r="Q537" s="47"/>
    </row>
    <row r="538" spans="13:17" ht="12.75">
      <c r="M538" s="47"/>
      <c r="Q538" s="47"/>
    </row>
    <row r="539" spans="13:17" ht="12.75">
      <c r="M539" s="47"/>
      <c r="Q539" s="47"/>
    </row>
    <row r="540" spans="13:17" ht="12.75">
      <c r="M540" s="47"/>
      <c r="Q540" s="47"/>
    </row>
    <row r="541" spans="13:17" ht="12.75">
      <c r="M541" s="47"/>
      <c r="Q541" s="47"/>
    </row>
    <row r="542" spans="13:17" ht="12.75">
      <c r="M542" s="47"/>
      <c r="Q542" s="47"/>
    </row>
    <row r="543" spans="13:17" ht="12.75">
      <c r="M543" s="47"/>
      <c r="Q543" s="47"/>
    </row>
    <row r="544" spans="13:17" ht="12.75">
      <c r="M544" s="47"/>
      <c r="Q544" s="47"/>
    </row>
    <row r="545" spans="13:17" ht="12.75">
      <c r="M545" s="47"/>
      <c r="Q545" s="47"/>
    </row>
    <row r="546" spans="13:17" ht="12.75">
      <c r="M546" s="47"/>
      <c r="Q546" s="47"/>
    </row>
    <row r="547" spans="13:17" ht="12.75">
      <c r="M547" s="47"/>
      <c r="Q547" s="47"/>
    </row>
    <row r="548" spans="13:17" ht="12.75">
      <c r="M548" s="47"/>
      <c r="Q548" s="47"/>
    </row>
    <row r="549" spans="13:17" ht="12.75">
      <c r="M549" s="47"/>
      <c r="Q549" s="47"/>
    </row>
    <row r="550" spans="13:17" ht="12.75">
      <c r="M550" s="47"/>
      <c r="Q550" s="47"/>
    </row>
    <row r="551" spans="13:17" ht="12.75">
      <c r="M551" s="47"/>
      <c r="Q551" s="47"/>
    </row>
    <row r="552" spans="13:17" ht="12.75">
      <c r="M552" s="47"/>
      <c r="Q552" s="47"/>
    </row>
    <row r="553" spans="13:17" ht="12.75">
      <c r="M553" s="47"/>
      <c r="Q553" s="47"/>
    </row>
    <row r="554" spans="13:17" ht="12.75">
      <c r="M554" s="47"/>
      <c r="Q554" s="47"/>
    </row>
    <row r="555" spans="13:17" ht="12.75">
      <c r="M555" s="47"/>
      <c r="Q555" s="47"/>
    </row>
    <row r="556" spans="13:17" ht="12.75">
      <c r="M556" s="47"/>
      <c r="Q556" s="47"/>
    </row>
    <row r="557" spans="13:17" ht="12.75">
      <c r="M557" s="47"/>
      <c r="Q557" s="47"/>
    </row>
    <row r="558" spans="13:17" ht="12.75">
      <c r="M558" s="47"/>
      <c r="Q558" s="47"/>
    </row>
    <row r="559" spans="13:17" ht="12.75">
      <c r="M559" s="47"/>
      <c r="Q559" s="47"/>
    </row>
    <row r="560" spans="13:17" ht="12.75">
      <c r="M560" s="47"/>
      <c r="Q560" s="47"/>
    </row>
    <row r="561" spans="13:17" ht="12.75">
      <c r="M561" s="47"/>
      <c r="Q561" s="47"/>
    </row>
    <row r="562" spans="13:17" ht="12.75">
      <c r="M562" s="47"/>
      <c r="Q562" s="47"/>
    </row>
    <row r="563" spans="13:17" ht="12.75">
      <c r="M563" s="47"/>
      <c r="Q563" s="47"/>
    </row>
    <row r="564" spans="13:17" ht="12.75">
      <c r="M564" s="47"/>
      <c r="Q564" s="47"/>
    </row>
    <row r="565" spans="13:17" ht="12.75">
      <c r="M565" s="47"/>
      <c r="Q565" s="47"/>
    </row>
    <row r="566" spans="13:17" ht="12.75">
      <c r="M566" s="47"/>
      <c r="Q566" s="47"/>
    </row>
    <row r="567" spans="13:17" ht="12.75">
      <c r="M567" s="47"/>
      <c r="Q567" s="47"/>
    </row>
    <row r="568" spans="13:17" ht="12.75">
      <c r="M568" s="47"/>
      <c r="Q568" s="47"/>
    </row>
    <row r="569" spans="13:17" ht="12.75">
      <c r="M569" s="47"/>
      <c r="Q569" s="47"/>
    </row>
    <row r="570" spans="13:17" ht="12.75">
      <c r="M570" s="47"/>
      <c r="Q570" s="47"/>
    </row>
    <row r="571" spans="13:17" ht="12.75">
      <c r="M571" s="47"/>
      <c r="Q571" s="47"/>
    </row>
    <row r="572" spans="13:17" ht="12.75">
      <c r="M572" s="47"/>
      <c r="Q572" s="47"/>
    </row>
    <row r="573" spans="13:17" ht="12.75">
      <c r="M573" s="47"/>
      <c r="Q573" s="47"/>
    </row>
    <row r="574" spans="13:17" ht="12.75">
      <c r="M574" s="47"/>
      <c r="Q574" s="47"/>
    </row>
    <row r="575" spans="13:17" ht="12.75">
      <c r="M575" s="47"/>
      <c r="Q575" s="47"/>
    </row>
    <row r="576" spans="13:17" ht="12.75">
      <c r="M576" s="47"/>
      <c r="Q576" s="47"/>
    </row>
    <row r="577" spans="13:17" ht="12.75">
      <c r="M577" s="47"/>
      <c r="Q577" s="47"/>
    </row>
    <row r="578" spans="13:17" ht="12.75">
      <c r="M578" s="47"/>
      <c r="Q578" s="47"/>
    </row>
    <row r="579" spans="13:17" ht="12.75">
      <c r="M579" s="47"/>
      <c r="Q579" s="47"/>
    </row>
    <row r="580" spans="13:17" ht="12.75">
      <c r="M580" s="47"/>
      <c r="Q580" s="47"/>
    </row>
    <row r="581" spans="13:17" ht="12.75">
      <c r="M581" s="47"/>
      <c r="Q581" s="47"/>
    </row>
    <row r="582" spans="13:17" ht="12.75">
      <c r="M582" s="47"/>
      <c r="Q582" s="47"/>
    </row>
    <row r="583" spans="13:17" ht="12.75">
      <c r="M583" s="47"/>
      <c r="Q583" s="47"/>
    </row>
    <row r="584" spans="13:17" ht="12.75">
      <c r="M584" s="47"/>
      <c r="Q584" s="47"/>
    </row>
    <row r="585" spans="13:17" ht="12.75">
      <c r="M585" s="47"/>
      <c r="Q585" s="47"/>
    </row>
    <row r="586" spans="13:17" ht="12.75">
      <c r="M586" s="47"/>
      <c r="Q586" s="47"/>
    </row>
    <row r="587" spans="13:17" ht="12.75">
      <c r="M587" s="47"/>
      <c r="Q587" s="47"/>
    </row>
    <row r="588" spans="13:17" ht="12.75">
      <c r="M588" s="47"/>
      <c r="Q588" s="47"/>
    </row>
    <row r="589" spans="13:17" ht="12.75">
      <c r="M589" s="47"/>
      <c r="Q589" s="47"/>
    </row>
    <row r="590" spans="13:17" ht="12.75">
      <c r="M590" s="47"/>
      <c r="Q590" s="47"/>
    </row>
    <row r="591" spans="13:17" ht="12.75">
      <c r="M591" s="47"/>
      <c r="Q591" s="47"/>
    </row>
    <row r="592" spans="13:17" ht="12.75">
      <c r="M592" s="47"/>
      <c r="Q592" s="47"/>
    </row>
    <row r="593" spans="13:17" ht="12.75">
      <c r="M593" s="47"/>
      <c r="Q593" s="47"/>
    </row>
    <row r="594" spans="13:17" ht="12.75">
      <c r="M594" s="47"/>
      <c r="Q594" s="47"/>
    </row>
    <row r="595" spans="13:17" ht="12.75">
      <c r="M595" s="47"/>
      <c r="Q595" s="47"/>
    </row>
    <row r="596" spans="13:17" ht="12.75">
      <c r="M596" s="47"/>
      <c r="Q596" s="47"/>
    </row>
    <row r="597" spans="13:17" ht="12.75">
      <c r="M597" s="47"/>
      <c r="Q597" s="47"/>
    </row>
    <row r="598" spans="13:17" ht="12.75">
      <c r="M598" s="47"/>
      <c r="Q598" s="47"/>
    </row>
    <row r="599" spans="13:17" ht="12.75">
      <c r="M599" s="47"/>
      <c r="Q599" s="47"/>
    </row>
    <row r="600" spans="13:17" ht="12.75">
      <c r="M600" s="47"/>
      <c r="Q600" s="47"/>
    </row>
    <row r="601" spans="13:17" ht="12.75">
      <c r="M601" s="47"/>
      <c r="Q601" s="47"/>
    </row>
    <row r="602" spans="13:17" ht="12.75">
      <c r="M602" s="47"/>
      <c r="Q602" s="47"/>
    </row>
    <row r="603" spans="13:17" ht="12.75">
      <c r="M603" s="47"/>
      <c r="Q603" s="47"/>
    </row>
    <row r="604" spans="13:17" ht="12.75">
      <c r="M604" s="47"/>
      <c r="Q604" s="47"/>
    </row>
    <row r="605" spans="13:17" ht="12.75">
      <c r="M605" s="47"/>
      <c r="Q605" s="47"/>
    </row>
    <row r="606" spans="13:17" ht="12.75">
      <c r="M606" s="47"/>
      <c r="Q606" s="47"/>
    </row>
    <row r="607" spans="13:17" ht="12.75">
      <c r="M607" s="47"/>
      <c r="Q607" s="47"/>
    </row>
    <row r="608" spans="13:17" ht="12.75">
      <c r="M608" s="47"/>
      <c r="Q608" s="47"/>
    </row>
    <row r="609" spans="13:17" ht="12.75">
      <c r="M609" s="47"/>
      <c r="Q609" s="47"/>
    </row>
    <row r="610" spans="13:17" ht="12.75">
      <c r="M610" s="47"/>
      <c r="Q610" s="47"/>
    </row>
    <row r="611" spans="13:17" ht="12.75">
      <c r="M611" s="47"/>
      <c r="Q611" s="47"/>
    </row>
    <row r="612" spans="13:17" ht="12.75">
      <c r="M612" s="47"/>
      <c r="Q612" s="47"/>
    </row>
    <row r="613" spans="13:17" ht="12.75">
      <c r="M613" s="47"/>
      <c r="Q613" s="47"/>
    </row>
    <row r="614" spans="13:17" ht="12.75">
      <c r="M614" s="47"/>
      <c r="Q614" s="47"/>
    </row>
    <row r="615" spans="13:17" ht="12.75">
      <c r="M615" s="47"/>
      <c r="Q615" s="47"/>
    </row>
    <row r="616" spans="13:17" ht="12.75">
      <c r="M616" s="47"/>
      <c r="Q616" s="47"/>
    </row>
    <row r="617" spans="13:17" ht="12.75">
      <c r="M617" s="47"/>
      <c r="Q617" s="47"/>
    </row>
    <row r="618" spans="13:17" ht="12.75">
      <c r="M618" s="47"/>
      <c r="Q618" s="47"/>
    </row>
    <row r="619" spans="13:17" ht="12.75">
      <c r="M619" s="47"/>
      <c r="Q619" s="47"/>
    </row>
    <row r="620" spans="13:17" ht="12.75">
      <c r="M620" s="47"/>
      <c r="Q620" s="47"/>
    </row>
    <row r="621" spans="13:17" ht="12.75">
      <c r="M621" s="47"/>
      <c r="Q621" s="47"/>
    </row>
    <row r="622" spans="13:17" ht="12.75">
      <c r="M622" s="47"/>
      <c r="Q622" s="47"/>
    </row>
    <row r="623" spans="13:17" ht="12.75">
      <c r="M623" s="47"/>
      <c r="Q623" s="47"/>
    </row>
    <row r="624" spans="13:17" ht="12.75">
      <c r="M624" s="47"/>
      <c r="Q624" s="47"/>
    </row>
    <row r="625" spans="13:17" ht="12.75">
      <c r="M625" s="47"/>
      <c r="Q625" s="47"/>
    </row>
    <row r="626" spans="13:17" ht="12.75">
      <c r="M626" s="47"/>
      <c r="Q626" s="47"/>
    </row>
    <row r="627" spans="13:17" ht="12.75">
      <c r="M627" s="47"/>
      <c r="Q627" s="47"/>
    </row>
    <row r="628" spans="13:17" ht="12.75">
      <c r="M628" s="47"/>
      <c r="Q628" s="47"/>
    </row>
    <row r="629" spans="13:17" ht="12.75">
      <c r="M629" s="47"/>
      <c r="Q629" s="47"/>
    </row>
    <row r="630" spans="13:17" ht="12.75">
      <c r="M630" s="47"/>
      <c r="Q630" s="47"/>
    </row>
    <row r="631" spans="13:17" ht="12.75">
      <c r="M631" s="47"/>
      <c r="Q631" s="47"/>
    </row>
    <row r="632" spans="13:17" ht="12.75">
      <c r="M632" s="47"/>
      <c r="Q632" s="47"/>
    </row>
    <row r="633" spans="13:17" ht="12.75">
      <c r="M633" s="47"/>
      <c r="Q633" s="47"/>
    </row>
    <row r="634" spans="13:17" ht="12.75">
      <c r="M634" s="47"/>
      <c r="Q634" s="47"/>
    </row>
    <row r="635" spans="13:17" ht="12.75">
      <c r="M635" s="47"/>
      <c r="Q635" s="47"/>
    </row>
    <row r="636" spans="13:17" ht="12.75">
      <c r="M636" s="47"/>
      <c r="Q636" s="47"/>
    </row>
    <row r="637" spans="13:17" ht="12.75">
      <c r="M637" s="47"/>
      <c r="Q637" s="47"/>
    </row>
    <row r="638" spans="13:17" ht="12.75">
      <c r="M638" s="47"/>
      <c r="Q638" s="47"/>
    </row>
    <row r="639" spans="13:17" ht="12.75">
      <c r="M639" s="47"/>
      <c r="Q639" s="47"/>
    </row>
    <row r="640" spans="13:17" ht="12.75">
      <c r="M640" s="47"/>
      <c r="Q640" s="47"/>
    </row>
    <row r="641" spans="13:17" ht="12.75">
      <c r="M641" s="47"/>
      <c r="Q641" s="47"/>
    </row>
    <row r="642" spans="13:17" ht="12.75">
      <c r="M642" s="47"/>
      <c r="Q642" s="47"/>
    </row>
    <row r="643" spans="13:17" ht="12.75">
      <c r="M643" s="47"/>
      <c r="Q643" s="47"/>
    </row>
    <row r="644" spans="13:17" ht="12.75">
      <c r="M644" s="47"/>
      <c r="Q644" s="47"/>
    </row>
    <row r="645" spans="13:17" ht="12.75">
      <c r="M645" s="47"/>
      <c r="Q645" s="47"/>
    </row>
    <row r="646" spans="13:17" ht="12.75">
      <c r="M646" s="47"/>
      <c r="Q646" s="47"/>
    </row>
    <row r="647" spans="13:17" ht="12.75">
      <c r="M647" s="47"/>
      <c r="Q647" s="47"/>
    </row>
    <row r="648" spans="13:17" ht="12.75">
      <c r="M648" s="47"/>
      <c r="Q648" s="47"/>
    </row>
    <row r="649" spans="13:17" ht="12.75">
      <c r="M649" s="47"/>
      <c r="Q649" s="47"/>
    </row>
    <row r="650" spans="13:17" ht="12.75">
      <c r="M650" s="47"/>
      <c r="Q650" s="47"/>
    </row>
    <row r="651" spans="13:17" ht="12.75">
      <c r="M651" s="47"/>
      <c r="Q651" s="47"/>
    </row>
    <row r="652" spans="13:17" ht="12.75">
      <c r="M652" s="47"/>
      <c r="Q652" s="47"/>
    </row>
    <row r="653" spans="13:17" ht="12.75">
      <c r="M653" s="47"/>
      <c r="Q653" s="47"/>
    </row>
    <row r="654" spans="13:17" ht="12.75">
      <c r="M654" s="47"/>
      <c r="Q654" s="47"/>
    </row>
    <row r="655" spans="13:17" ht="12.75">
      <c r="M655" s="47"/>
      <c r="Q655" s="47"/>
    </row>
    <row r="656" spans="13:17" ht="12.75">
      <c r="M656" s="47"/>
      <c r="Q656" s="47"/>
    </row>
    <row r="657" spans="13:17" ht="12.75">
      <c r="M657" s="47"/>
      <c r="Q657" s="47"/>
    </row>
    <row r="658" spans="13:17" ht="12.75">
      <c r="M658" s="47"/>
      <c r="Q658" s="47"/>
    </row>
    <row r="659" spans="13:17" ht="12.75">
      <c r="M659" s="47"/>
      <c r="Q659" s="47"/>
    </row>
    <row r="660" spans="13:17" ht="12.75">
      <c r="M660" s="47"/>
      <c r="Q660" s="47"/>
    </row>
    <row r="661" spans="13:17" ht="12.75">
      <c r="M661" s="47"/>
      <c r="Q661" s="47"/>
    </row>
    <row r="662" spans="13:17" ht="12.75">
      <c r="M662" s="47"/>
      <c r="Q662" s="47"/>
    </row>
    <row r="663" spans="13:17" ht="12.75">
      <c r="M663" s="47"/>
      <c r="Q663" s="47"/>
    </row>
    <row r="664" spans="13:17" ht="12.75">
      <c r="M664" s="47"/>
      <c r="Q664" s="47"/>
    </row>
    <row r="665" spans="13:17" ht="12.75">
      <c r="M665" s="47"/>
      <c r="Q665" s="47"/>
    </row>
    <row r="666" spans="13:17" ht="12.75">
      <c r="M666" s="47"/>
      <c r="Q666" s="47"/>
    </row>
    <row r="667" spans="13:17" ht="12.75">
      <c r="M667" s="47"/>
      <c r="Q667" s="47"/>
    </row>
    <row r="668" spans="13:17" ht="12.75">
      <c r="M668" s="47"/>
      <c r="Q668" s="47"/>
    </row>
    <row r="669" spans="13:17" ht="12.75">
      <c r="M669" s="47"/>
      <c r="Q669" s="47"/>
    </row>
    <row r="670" spans="13:17" ht="12.75">
      <c r="M670" s="47"/>
      <c r="Q670" s="47"/>
    </row>
    <row r="671" spans="13:17" ht="12.75">
      <c r="M671" s="47"/>
      <c r="Q671" s="47"/>
    </row>
    <row r="672" spans="13:17" ht="12.75">
      <c r="M672" s="47"/>
      <c r="Q672" s="47"/>
    </row>
    <row r="673" spans="13:17" ht="12.75">
      <c r="M673" s="47"/>
      <c r="Q673" s="47"/>
    </row>
    <row r="674" spans="13:17" ht="12.75">
      <c r="M674" s="47"/>
      <c r="Q674" s="47"/>
    </row>
    <row r="675" spans="13:17" ht="12.75">
      <c r="M675" s="47"/>
      <c r="Q675" s="47"/>
    </row>
    <row r="676" spans="13:17" ht="12.75">
      <c r="M676" s="47"/>
      <c r="Q676" s="47"/>
    </row>
    <row r="677" spans="13:17" ht="12.75">
      <c r="M677" s="47"/>
      <c r="Q677" s="47"/>
    </row>
    <row r="678" spans="13:17" ht="12.75">
      <c r="M678" s="47"/>
      <c r="Q678" s="47"/>
    </row>
    <row r="679" spans="13:17" ht="12.75">
      <c r="M679" s="47"/>
      <c r="Q679" s="47"/>
    </row>
    <row r="680" spans="13:17" ht="12.75">
      <c r="M680" s="47"/>
      <c r="Q680" s="47"/>
    </row>
    <row r="681" spans="13:17" ht="12.75">
      <c r="M681" s="47"/>
      <c r="Q681" s="47"/>
    </row>
    <row r="682" spans="13:17" ht="12.75">
      <c r="M682" s="47"/>
      <c r="Q682" s="47"/>
    </row>
    <row r="683" spans="13:17" ht="12.75">
      <c r="M683" s="47"/>
      <c r="Q683" s="47"/>
    </row>
    <row r="684" spans="13:17" ht="12.75">
      <c r="M684" s="47"/>
      <c r="Q684" s="47"/>
    </row>
    <row r="685" spans="13:17" ht="12.75">
      <c r="M685" s="47"/>
      <c r="Q685" s="47"/>
    </row>
    <row r="686" spans="13:17" ht="12.75">
      <c r="M686" s="47"/>
      <c r="Q686" s="47"/>
    </row>
    <row r="687" spans="13:17" ht="12.75">
      <c r="M687" s="47"/>
      <c r="Q687" s="47"/>
    </row>
    <row r="688" spans="13:17" ht="12.75">
      <c r="M688" s="47"/>
      <c r="Q688" s="47"/>
    </row>
    <row r="689" spans="13:17" ht="12.75">
      <c r="M689" s="47"/>
      <c r="Q689" s="47"/>
    </row>
    <row r="690" spans="13:17" ht="12.75">
      <c r="M690" s="47"/>
      <c r="Q690" s="47"/>
    </row>
    <row r="691" spans="13:17" ht="12.75">
      <c r="M691" s="47"/>
      <c r="Q691" s="47"/>
    </row>
    <row r="692" spans="13:17" ht="12.75">
      <c r="M692" s="47"/>
      <c r="Q692" s="47"/>
    </row>
    <row r="693" spans="13:17" ht="12.75">
      <c r="M693" s="47"/>
      <c r="Q693" s="47"/>
    </row>
    <row r="694" spans="13:17" ht="12.75">
      <c r="M694" s="47"/>
      <c r="Q694" s="47"/>
    </row>
    <row r="695" spans="13:17" ht="12.75">
      <c r="M695" s="47"/>
      <c r="Q695" s="47"/>
    </row>
    <row r="696" spans="13:17" ht="12.75">
      <c r="M696" s="47"/>
      <c r="Q696" s="47"/>
    </row>
    <row r="697" spans="13:17" ht="12.75">
      <c r="M697" s="47"/>
      <c r="Q697" s="47"/>
    </row>
    <row r="698" spans="13:17" ht="12.75">
      <c r="M698" s="47"/>
      <c r="Q698" s="47"/>
    </row>
    <row r="699" spans="13:17" ht="12.75">
      <c r="M699" s="47"/>
      <c r="Q699" s="47"/>
    </row>
    <row r="700" spans="13:17" ht="12.75">
      <c r="M700" s="47"/>
      <c r="Q700" s="47"/>
    </row>
    <row r="701" spans="13:17" ht="12.75">
      <c r="M701" s="47"/>
      <c r="Q701" s="47"/>
    </row>
    <row r="702" spans="13:17" ht="12.75">
      <c r="M702" s="47"/>
      <c r="Q702" s="47"/>
    </row>
    <row r="703" spans="13:17" ht="12.75">
      <c r="M703" s="47"/>
      <c r="Q703" s="47"/>
    </row>
    <row r="704" spans="13:17" ht="12.75">
      <c r="M704" s="47"/>
      <c r="Q704" s="47"/>
    </row>
    <row r="705" spans="13:17" ht="12.75">
      <c r="M705" s="47"/>
      <c r="Q705" s="47"/>
    </row>
    <row r="706" spans="13:17" ht="12.75">
      <c r="M706" s="47"/>
      <c r="Q706" s="47"/>
    </row>
    <row r="707" spans="13:17" ht="12.75">
      <c r="M707" s="47"/>
      <c r="Q707" s="47"/>
    </row>
    <row r="708" spans="13:17" ht="12.75">
      <c r="M708" s="47"/>
      <c r="Q708" s="47"/>
    </row>
    <row r="709" spans="13:17" ht="12.75">
      <c r="M709" s="47"/>
      <c r="Q709" s="47"/>
    </row>
    <row r="710" spans="13:17" ht="12.75">
      <c r="M710" s="47"/>
      <c r="Q710" s="47"/>
    </row>
    <row r="711" spans="13:17" ht="12.75">
      <c r="M711" s="47"/>
      <c r="Q711" s="47"/>
    </row>
    <row r="712" spans="13:17" ht="12.75">
      <c r="M712" s="47"/>
      <c r="Q712" s="47"/>
    </row>
    <row r="713" spans="13:17" ht="12.75">
      <c r="M713" s="47"/>
      <c r="Q713" s="47"/>
    </row>
    <row r="714" spans="13:17" ht="12.75">
      <c r="M714" s="47"/>
      <c r="Q714" s="47"/>
    </row>
    <row r="715" spans="13:17" ht="12.75">
      <c r="M715" s="47"/>
      <c r="Q715" s="47"/>
    </row>
    <row r="716" spans="13:17" ht="12.75">
      <c r="M716" s="47"/>
      <c r="Q716" s="47"/>
    </row>
    <row r="717" spans="13:17" ht="12.75">
      <c r="M717" s="47"/>
      <c r="Q717" s="47"/>
    </row>
    <row r="718" spans="13:17" ht="12.75">
      <c r="M718" s="47"/>
      <c r="Q718" s="47"/>
    </row>
    <row r="719" spans="13:17" ht="12.75">
      <c r="M719" s="47"/>
      <c r="Q719" s="47"/>
    </row>
    <row r="720" spans="13:17" ht="12.75">
      <c r="M720" s="47"/>
      <c r="Q720" s="47"/>
    </row>
    <row r="721" spans="13:17" ht="12.75">
      <c r="M721" s="47"/>
      <c r="Q721" s="47"/>
    </row>
    <row r="722" spans="13:17" ht="12.75">
      <c r="M722" s="47"/>
      <c r="Q722" s="47"/>
    </row>
    <row r="723" spans="13:17" ht="12.75">
      <c r="M723" s="47"/>
      <c r="Q723" s="47"/>
    </row>
    <row r="724" spans="13:17" ht="12.75">
      <c r="M724" s="47"/>
      <c r="Q724" s="47"/>
    </row>
    <row r="725" spans="13:17" ht="12.75">
      <c r="M725" s="47"/>
      <c r="Q725" s="47"/>
    </row>
    <row r="726" spans="13:17" ht="12.75">
      <c r="M726" s="47"/>
      <c r="Q726" s="47"/>
    </row>
    <row r="727" spans="13:17" ht="12.75">
      <c r="M727" s="47"/>
      <c r="Q727" s="47"/>
    </row>
    <row r="728" spans="13:17" ht="12.75">
      <c r="M728" s="47"/>
      <c r="Q728" s="47"/>
    </row>
    <row r="729" spans="13:17" ht="12.75">
      <c r="M729" s="47"/>
      <c r="Q729" s="47"/>
    </row>
    <row r="730" spans="13:17" ht="12.75">
      <c r="M730" s="47"/>
      <c r="Q730" s="47"/>
    </row>
    <row r="731" spans="13:17" ht="12.75">
      <c r="M731" s="47"/>
      <c r="Q731" s="47"/>
    </row>
    <row r="732" spans="13:17" ht="12.75">
      <c r="M732" s="47"/>
      <c r="Q732" s="47"/>
    </row>
    <row r="733" spans="13:17" ht="12.75">
      <c r="M733" s="47"/>
      <c r="Q733" s="47"/>
    </row>
    <row r="734" spans="13:17" ht="12.75">
      <c r="M734" s="47"/>
      <c r="Q734" s="47"/>
    </row>
    <row r="735" spans="13:17" ht="12.75">
      <c r="M735" s="47"/>
      <c r="Q735" s="47"/>
    </row>
    <row r="736" spans="13:17" ht="12.75">
      <c r="M736" s="47"/>
      <c r="Q736" s="47"/>
    </row>
    <row r="737" spans="13:17" ht="12.75">
      <c r="M737" s="47"/>
      <c r="Q737" s="47"/>
    </row>
    <row r="738" spans="13:17" ht="12.75">
      <c r="M738" s="47"/>
      <c r="Q738" s="47"/>
    </row>
    <row r="739" spans="13:17" ht="12.75">
      <c r="M739" s="47"/>
      <c r="Q739" s="47"/>
    </row>
    <row r="740" spans="13:17" ht="12.75">
      <c r="M740" s="47"/>
      <c r="Q740" s="47"/>
    </row>
    <row r="741" spans="13:17" ht="12.75">
      <c r="M741" s="47"/>
      <c r="Q741" s="47"/>
    </row>
    <row r="742" spans="13:17" ht="12.75">
      <c r="M742" s="47"/>
      <c r="Q742" s="47"/>
    </row>
    <row r="743" spans="13:17" ht="12.75">
      <c r="M743" s="47"/>
      <c r="Q743" s="47"/>
    </row>
    <row r="744" spans="13:17" ht="12.75">
      <c r="M744" s="47"/>
      <c r="Q744" s="47"/>
    </row>
    <row r="745" spans="13:17" ht="12.75">
      <c r="M745" s="47"/>
      <c r="Q745" s="47"/>
    </row>
    <row r="746" spans="13:17" ht="12.75">
      <c r="M746" s="47"/>
      <c r="Q746" s="47"/>
    </row>
    <row r="747" spans="13:17" ht="12.75">
      <c r="M747" s="47"/>
      <c r="Q747" s="47"/>
    </row>
    <row r="748" spans="13:17" ht="12.75">
      <c r="M748" s="47"/>
      <c r="Q748" s="47"/>
    </row>
    <row r="749" spans="13:17" ht="12.75">
      <c r="M749" s="47"/>
      <c r="Q749" s="47"/>
    </row>
    <row r="750" spans="13:17" ht="12.75">
      <c r="M750" s="47"/>
      <c r="Q750" s="47"/>
    </row>
    <row r="751" spans="13:17" ht="12.75">
      <c r="M751" s="47"/>
      <c r="Q751" s="47"/>
    </row>
    <row r="752" spans="13:17" ht="12.75">
      <c r="M752" s="47"/>
      <c r="Q752" s="47"/>
    </row>
    <row r="753" spans="13:17" ht="12.75">
      <c r="M753" s="47"/>
      <c r="Q753" s="47"/>
    </row>
    <row r="754" spans="13:17" ht="12.75">
      <c r="M754" s="47"/>
      <c r="Q754" s="47"/>
    </row>
    <row r="755" spans="13:17" ht="12.75">
      <c r="M755" s="47"/>
      <c r="Q755" s="47"/>
    </row>
    <row r="756" spans="13:17" ht="12.75">
      <c r="M756" s="47"/>
      <c r="Q756" s="47"/>
    </row>
    <row r="757" spans="13:17" ht="12.75">
      <c r="M757" s="47"/>
      <c r="Q757" s="47"/>
    </row>
    <row r="758" spans="13:17" ht="12.75">
      <c r="M758" s="47"/>
      <c r="Q758" s="47"/>
    </row>
    <row r="759" spans="13:17" ht="12.75">
      <c r="M759" s="47"/>
      <c r="Q759" s="47"/>
    </row>
    <row r="760" spans="13:17" ht="12.75">
      <c r="M760" s="47"/>
      <c r="Q760" s="47"/>
    </row>
    <row r="761" spans="13:17" ht="12.75">
      <c r="M761" s="47"/>
      <c r="Q761" s="47"/>
    </row>
    <row r="762" spans="13:17" ht="12.75">
      <c r="M762" s="47"/>
      <c r="Q762" s="47"/>
    </row>
    <row r="763" spans="13:17" ht="12.75">
      <c r="M763" s="47"/>
      <c r="Q763" s="47"/>
    </row>
    <row r="764" spans="13:17" ht="12.75">
      <c r="M764" s="47"/>
      <c r="Q764" s="47"/>
    </row>
    <row r="765" spans="13:17" ht="12.75">
      <c r="M765" s="47"/>
      <c r="Q765" s="47"/>
    </row>
    <row r="766" spans="13:17" ht="12.75">
      <c r="M766" s="47"/>
      <c r="Q766" s="47"/>
    </row>
    <row r="767" spans="13:17" ht="12.75">
      <c r="M767" s="47"/>
      <c r="Q767" s="47"/>
    </row>
    <row r="768" spans="13:17" ht="12.75">
      <c r="M768" s="47"/>
      <c r="Q768" s="47"/>
    </row>
    <row r="769" spans="13:17" ht="12.75">
      <c r="M769" s="47"/>
      <c r="Q769" s="47"/>
    </row>
    <row r="770" spans="13:17" ht="12.75">
      <c r="M770" s="47"/>
      <c r="Q770" s="47"/>
    </row>
    <row r="771" spans="13:17" ht="12.75">
      <c r="M771" s="47"/>
      <c r="Q771" s="47"/>
    </row>
    <row r="772" spans="13:17" ht="12.75">
      <c r="M772" s="47"/>
      <c r="Q772" s="47"/>
    </row>
    <row r="773" spans="13:17" ht="12.75">
      <c r="M773" s="47"/>
      <c r="Q773" s="47"/>
    </row>
    <row r="774" spans="13:17" ht="12.75">
      <c r="M774" s="47"/>
      <c r="Q774" s="47"/>
    </row>
    <row r="775" spans="13:17" ht="12.75">
      <c r="M775" s="47"/>
      <c r="Q775" s="47"/>
    </row>
    <row r="776" spans="13:17" ht="12.75">
      <c r="M776" s="47"/>
      <c r="Q776" s="47"/>
    </row>
    <row r="777" spans="13:17" ht="12.75">
      <c r="M777" s="47"/>
      <c r="Q777" s="47"/>
    </row>
    <row r="778" spans="13:17" ht="12.75">
      <c r="M778" s="47"/>
      <c r="Q778" s="47"/>
    </row>
    <row r="779" spans="13:17" ht="12.75">
      <c r="M779" s="47"/>
      <c r="Q779" s="47"/>
    </row>
    <row r="780" spans="13:17" ht="12.75">
      <c r="M780" s="47"/>
      <c r="Q780" s="47"/>
    </row>
    <row r="781" spans="13:17" ht="12.75">
      <c r="M781" s="47"/>
      <c r="Q781" s="47"/>
    </row>
    <row r="782" spans="13:17" ht="12.75">
      <c r="M782" s="47"/>
      <c r="Q782" s="47"/>
    </row>
    <row r="783" spans="13:17" ht="12.75">
      <c r="M783" s="47"/>
      <c r="Q783" s="47"/>
    </row>
    <row r="784" spans="13:17" ht="12.75">
      <c r="M784" s="47"/>
      <c r="Q784" s="47"/>
    </row>
    <row r="785" spans="13:17" ht="12.75">
      <c r="M785" s="47"/>
      <c r="Q785" s="47"/>
    </row>
    <row r="786" spans="13:17" ht="12.75">
      <c r="M786" s="47"/>
      <c r="Q786" s="47"/>
    </row>
    <row r="787" spans="13:17" ht="12.75">
      <c r="M787" s="47"/>
      <c r="Q787" s="47"/>
    </row>
    <row r="788" spans="13:17" ht="12.75">
      <c r="M788" s="47"/>
      <c r="Q788" s="47"/>
    </row>
    <row r="789" spans="13:17" ht="12.75">
      <c r="M789" s="47"/>
      <c r="Q789" s="47"/>
    </row>
    <row r="790" spans="13:17" ht="12.75">
      <c r="M790" s="47"/>
      <c r="Q790" s="47"/>
    </row>
    <row r="791" spans="13:17" ht="12.75">
      <c r="M791" s="47"/>
      <c r="Q791" s="47"/>
    </row>
    <row r="792" spans="13:17" ht="12.75">
      <c r="M792" s="47"/>
      <c r="Q792" s="47"/>
    </row>
    <row r="793" spans="13:17" ht="12.75">
      <c r="M793" s="47"/>
      <c r="Q793" s="47"/>
    </row>
    <row r="794" spans="13:17" ht="12.75">
      <c r="M794" s="47"/>
      <c r="Q794" s="47"/>
    </row>
    <row r="795" spans="13:17" ht="12.75">
      <c r="M795" s="47"/>
      <c r="Q795" s="47"/>
    </row>
    <row r="796" spans="13:17" ht="12.75">
      <c r="M796" s="47"/>
      <c r="Q796" s="47"/>
    </row>
    <row r="797" spans="13:17" ht="12.75">
      <c r="M797" s="47"/>
      <c r="Q797" s="47"/>
    </row>
    <row r="798" spans="13:17" ht="12.75">
      <c r="M798" s="47"/>
      <c r="Q798" s="47"/>
    </row>
    <row r="799" spans="13:17" ht="12.75">
      <c r="M799" s="47"/>
      <c r="Q799" s="47"/>
    </row>
    <row r="800" spans="13:17" ht="12.75">
      <c r="M800" s="47"/>
      <c r="Q800" s="47"/>
    </row>
    <row r="801" spans="13:17" ht="12.75">
      <c r="M801" s="47"/>
      <c r="Q801" s="47"/>
    </row>
    <row r="802" spans="13:17" ht="12.75">
      <c r="M802" s="47"/>
      <c r="Q802" s="47"/>
    </row>
    <row r="803" spans="13:17" ht="12.75">
      <c r="M803" s="47"/>
      <c r="Q803" s="47"/>
    </row>
    <row r="804" spans="13:17" ht="12.75">
      <c r="M804" s="47"/>
      <c r="Q804" s="47"/>
    </row>
    <row r="805" spans="13:17" ht="12.75">
      <c r="M805" s="47"/>
      <c r="Q805" s="47"/>
    </row>
    <row r="806" spans="13:17" ht="12.75">
      <c r="M806" s="47"/>
      <c r="Q806" s="47"/>
    </row>
    <row r="807" spans="13:17" ht="12.75">
      <c r="M807" s="47"/>
      <c r="Q807" s="47"/>
    </row>
    <row r="808" spans="13:17" ht="12.75">
      <c r="M808" s="47"/>
      <c r="Q808" s="47"/>
    </row>
    <row r="809" spans="13:17" ht="12.75">
      <c r="M809" s="47"/>
      <c r="Q809" s="47"/>
    </row>
    <row r="810" spans="13:17" ht="12.75">
      <c r="M810" s="47"/>
      <c r="Q810" s="47"/>
    </row>
    <row r="811" spans="13:17" ht="12.75">
      <c r="M811" s="47"/>
      <c r="Q811" s="47"/>
    </row>
    <row r="812" spans="13:17" ht="12.75">
      <c r="M812" s="47"/>
      <c r="Q812" s="47"/>
    </row>
    <row r="813" spans="13:17" ht="12.75">
      <c r="M813" s="47"/>
      <c r="Q813" s="47"/>
    </row>
    <row r="814" spans="13:17" ht="12.75">
      <c r="M814" s="47"/>
      <c r="Q814" s="47"/>
    </row>
    <row r="815" spans="13:17" ht="12.75">
      <c r="M815" s="47"/>
      <c r="Q815" s="47"/>
    </row>
    <row r="816" spans="13:17" ht="12.75">
      <c r="M816" s="47"/>
      <c r="Q816" s="47"/>
    </row>
    <row r="817" spans="13:17" ht="12.75">
      <c r="M817" s="47"/>
      <c r="Q817" s="47"/>
    </row>
    <row r="818" spans="13:17" ht="12.75">
      <c r="M818" s="47"/>
      <c r="Q818" s="47"/>
    </row>
    <row r="819" spans="13:17" ht="12.75">
      <c r="M819" s="47"/>
      <c r="Q819" s="47"/>
    </row>
    <row r="820" spans="13:17" ht="12.75">
      <c r="M820" s="47"/>
      <c r="Q820" s="47"/>
    </row>
    <row r="821" spans="13:17" ht="12.75">
      <c r="M821" s="47"/>
      <c r="Q821" s="47"/>
    </row>
    <row r="822" spans="13:17" ht="12.75">
      <c r="M822" s="47"/>
      <c r="Q822" s="47"/>
    </row>
    <row r="823" spans="13:17" ht="12.75">
      <c r="M823" s="47"/>
      <c r="Q823" s="47"/>
    </row>
    <row r="824" spans="13:17" ht="12.75">
      <c r="M824" s="47"/>
      <c r="Q824" s="47"/>
    </row>
    <row r="825" spans="13:17" ht="12.75">
      <c r="M825" s="47"/>
      <c r="Q825" s="47"/>
    </row>
    <row r="826" spans="13:17" ht="12.75">
      <c r="M826" s="47"/>
      <c r="Q826" s="47"/>
    </row>
    <row r="827" spans="13:17" ht="12.75">
      <c r="M827" s="47"/>
      <c r="Q827" s="47"/>
    </row>
    <row r="828" spans="13:17" ht="12.75">
      <c r="M828" s="47"/>
      <c r="Q828" s="47"/>
    </row>
    <row r="829" spans="13:17" ht="12.75">
      <c r="M829" s="47"/>
      <c r="Q829" s="47"/>
    </row>
    <row r="830" spans="13:17" ht="12.75">
      <c r="M830" s="47"/>
      <c r="Q830" s="47"/>
    </row>
    <row r="831" spans="13:17" ht="12.75">
      <c r="M831" s="47"/>
      <c r="Q831" s="47"/>
    </row>
    <row r="832" spans="13:17" ht="12.75">
      <c r="M832" s="47"/>
      <c r="Q832" s="47"/>
    </row>
    <row r="833" spans="13:17" ht="12.75">
      <c r="M833" s="47"/>
      <c r="Q833" s="47"/>
    </row>
    <row r="834" spans="13:17" ht="12.75">
      <c r="M834" s="47"/>
      <c r="Q834" s="47"/>
    </row>
    <row r="835" spans="13:17" ht="12.75">
      <c r="M835" s="47"/>
      <c r="Q835" s="47"/>
    </row>
    <row r="836" spans="13:17" ht="12.75">
      <c r="M836" s="47"/>
      <c r="Q836" s="47"/>
    </row>
    <row r="837" spans="13:17" ht="12.75">
      <c r="M837" s="47"/>
      <c r="Q837" s="47"/>
    </row>
    <row r="838" spans="13:17" ht="12.75">
      <c r="M838" s="47"/>
      <c r="Q838" s="47"/>
    </row>
    <row r="839" spans="13:17" ht="12.75">
      <c r="M839" s="47"/>
      <c r="Q839" s="47"/>
    </row>
    <row r="840" spans="13:17" ht="12.75">
      <c r="M840" s="47"/>
      <c r="Q840" s="47"/>
    </row>
    <row r="841" spans="13:17" ht="12.75">
      <c r="M841" s="47"/>
      <c r="Q841" s="47"/>
    </row>
    <row r="842" spans="13:17" ht="12.75">
      <c r="M842" s="47"/>
      <c r="Q842" s="47"/>
    </row>
    <row r="843" spans="13:17" ht="12.75">
      <c r="M843" s="47"/>
      <c r="Q843" s="47"/>
    </row>
    <row r="844" spans="13:17" ht="12.75">
      <c r="M844" s="47"/>
      <c r="Q844" s="47"/>
    </row>
    <row r="845" spans="13:17" ht="12.75">
      <c r="M845" s="47"/>
      <c r="Q845" s="47"/>
    </row>
    <row r="846" spans="13:17" ht="12.75">
      <c r="M846" s="47"/>
      <c r="Q846" s="47"/>
    </row>
    <row r="847" spans="13:17" ht="12.75">
      <c r="M847" s="47"/>
      <c r="Q847" s="47"/>
    </row>
    <row r="848" spans="13:17" ht="12.75">
      <c r="M848" s="47"/>
      <c r="Q848" s="47"/>
    </row>
    <row r="849" spans="13:17" ht="12.75">
      <c r="M849" s="47"/>
      <c r="Q849" s="47"/>
    </row>
    <row r="850" spans="13:17" ht="12.75">
      <c r="M850" s="47"/>
      <c r="Q850" s="47"/>
    </row>
    <row r="851" spans="13:17" ht="12.75">
      <c r="M851" s="47"/>
      <c r="Q851" s="47"/>
    </row>
    <row r="852" spans="13:17" ht="12.75">
      <c r="M852" s="47"/>
      <c r="Q852" s="47"/>
    </row>
    <row r="853" spans="13:17" ht="12.75">
      <c r="M853" s="47"/>
      <c r="Q853" s="47"/>
    </row>
    <row r="854" spans="13:17" ht="12.75">
      <c r="M854" s="47"/>
      <c r="Q854" s="47"/>
    </row>
    <row r="855" spans="13:17" ht="12.75">
      <c r="M855" s="47"/>
      <c r="Q855" s="47"/>
    </row>
    <row r="856" spans="13:17" ht="12.75">
      <c r="M856" s="47"/>
      <c r="Q856" s="47"/>
    </row>
    <row r="857" spans="13:17" ht="12.75">
      <c r="M857" s="47"/>
      <c r="Q857" s="47"/>
    </row>
    <row r="858" spans="13:17" ht="12.75">
      <c r="M858" s="47"/>
      <c r="Q858" s="47"/>
    </row>
    <row r="859" spans="13:17" ht="12.75">
      <c r="M859" s="47"/>
      <c r="Q859" s="47"/>
    </row>
    <row r="860" spans="13:17" ht="12.75">
      <c r="M860" s="47"/>
      <c r="Q860" s="47"/>
    </row>
    <row r="861" spans="13:17" ht="12.75">
      <c r="M861" s="47"/>
      <c r="Q861" s="47"/>
    </row>
    <row r="862" spans="13:17" ht="12.75">
      <c r="M862" s="47"/>
      <c r="Q862" s="47"/>
    </row>
    <row r="863" spans="13:17" ht="12.75">
      <c r="M863" s="47"/>
      <c r="Q863" s="47"/>
    </row>
    <row r="864" spans="13:17" ht="12.75">
      <c r="M864" s="47"/>
      <c r="Q864" s="47"/>
    </row>
    <row r="865" spans="13:17" ht="12.75">
      <c r="M865" s="47"/>
      <c r="Q865" s="47"/>
    </row>
    <row r="866" spans="13:17" ht="12.75">
      <c r="M866" s="47"/>
      <c r="Q866" s="47"/>
    </row>
    <row r="867" spans="13:17" ht="12.75">
      <c r="M867" s="47"/>
      <c r="Q867" s="47"/>
    </row>
    <row r="868" spans="13:17" ht="12.75">
      <c r="M868" s="47"/>
      <c r="Q868" s="47"/>
    </row>
    <row r="869" spans="13:17" ht="12.75">
      <c r="M869" s="47"/>
      <c r="Q869" s="47"/>
    </row>
    <row r="870" spans="13:17" ht="12.75">
      <c r="M870" s="47"/>
      <c r="Q870" s="47"/>
    </row>
    <row r="871" spans="13:17" ht="12.75">
      <c r="M871" s="47"/>
      <c r="Q871" s="47"/>
    </row>
    <row r="872" spans="13:17" ht="12.75">
      <c r="M872" s="47"/>
      <c r="Q872" s="47"/>
    </row>
    <row r="873" spans="13:17" ht="12.75">
      <c r="M873" s="47"/>
      <c r="Q873" s="47"/>
    </row>
    <row r="874" spans="13:17" ht="12.75">
      <c r="M874" s="47"/>
      <c r="Q874" s="47"/>
    </row>
    <row r="875" spans="13:17" ht="12.75">
      <c r="M875" s="47"/>
      <c r="Q875" s="47"/>
    </row>
    <row r="876" spans="13:17" ht="12.75">
      <c r="M876" s="47"/>
      <c r="Q876" s="47"/>
    </row>
    <row r="877" spans="13:17" ht="12.75">
      <c r="M877" s="47"/>
      <c r="Q877" s="47"/>
    </row>
    <row r="878" spans="13:17" ht="12.75">
      <c r="M878" s="47"/>
      <c r="Q878" s="47"/>
    </row>
    <row r="879" spans="13:17" ht="12.75">
      <c r="M879" s="47"/>
      <c r="Q879" s="47"/>
    </row>
    <row r="880" spans="13:17" ht="12.75">
      <c r="M880" s="47"/>
      <c r="Q880" s="47"/>
    </row>
    <row r="881" spans="13:17" ht="12.75">
      <c r="M881" s="47"/>
      <c r="Q881" s="47"/>
    </row>
    <row r="882" spans="13:17" ht="12.75">
      <c r="M882" s="47"/>
      <c r="Q882" s="47"/>
    </row>
    <row r="883" spans="13:17" ht="12.75">
      <c r="M883" s="47"/>
      <c r="Q883" s="47"/>
    </row>
    <row r="884" spans="13:17" ht="12.75">
      <c r="M884" s="47"/>
      <c r="Q884" s="47"/>
    </row>
    <row r="885" spans="13:17" ht="12.75">
      <c r="M885" s="47"/>
      <c r="Q885" s="47"/>
    </row>
    <row r="886" spans="13:17" ht="12.75">
      <c r="M886" s="47"/>
      <c r="Q886" s="47"/>
    </row>
    <row r="887" spans="13:17" ht="12.75">
      <c r="M887" s="47"/>
      <c r="Q887" s="47"/>
    </row>
    <row r="888" spans="13:17" ht="12.75">
      <c r="M888" s="47"/>
      <c r="Q888" s="47"/>
    </row>
    <row r="889" spans="13:17" ht="12.75">
      <c r="M889" s="47"/>
      <c r="Q889" s="47"/>
    </row>
    <row r="890" spans="13:17" ht="12.75">
      <c r="M890" s="47"/>
      <c r="Q890" s="47"/>
    </row>
    <row r="891" spans="13:17" ht="12.75">
      <c r="M891" s="47"/>
      <c r="Q891" s="47"/>
    </row>
    <row r="892" spans="13:17" ht="12.75">
      <c r="M892" s="47"/>
      <c r="Q892" s="47"/>
    </row>
    <row r="893" spans="13:17" ht="12.75">
      <c r="M893" s="47"/>
      <c r="Q893" s="47"/>
    </row>
    <row r="894" spans="13:17" ht="12.75">
      <c r="M894" s="47"/>
      <c r="Q894" s="47"/>
    </row>
    <row r="895" spans="13:17" ht="12.75">
      <c r="M895" s="47"/>
      <c r="Q895" s="47"/>
    </row>
    <row r="896" spans="13:17" ht="12.75">
      <c r="M896" s="47"/>
      <c r="Q896" s="47"/>
    </row>
    <row r="897" spans="13:17" ht="12.75">
      <c r="M897" s="47"/>
      <c r="Q897" s="47"/>
    </row>
    <row r="898" spans="13:17" ht="12.75">
      <c r="M898" s="47"/>
      <c r="Q898" s="47"/>
    </row>
    <row r="899" spans="13:17" ht="12.75">
      <c r="M899" s="47"/>
      <c r="Q899" s="47"/>
    </row>
    <row r="900" spans="13:17" ht="12.75">
      <c r="M900" s="47"/>
      <c r="Q900" s="47"/>
    </row>
    <row r="901" spans="13:17" ht="12.75">
      <c r="M901" s="47"/>
      <c r="Q901" s="47"/>
    </row>
    <row r="902" spans="13:17" ht="12.75">
      <c r="M902" s="47"/>
      <c r="Q902" s="47"/>
    </row>
    <row r="903" spans="13:17" ht="12.75">
      <c r="M903" s="47"/>
      <c r="Q903" s="47"/>
    </row>
    <row r="904" spans="13:17" ht="12.75">
      <c r="M904" s="47"/>
      <c r="Q904" s="47"/>
    </row>
    <row r="905" spans="13:17" ht="12.75">
      <c r="M905" s="47"/>
      <c r="Q905" s="47"/>
    </row>
    <row r="906" spans="13:17" ht="12.75">
      <c r="M906" s="47"/>
      <c r="Q906" s="47"/>
    </row>
    <row r="907" spans="13:17" ht="12.75">
      <c r="M907" s="47"/>
      <c r="Q907" s="47"/>
    </row>
    <row r="908" spans="13:17" ht="12.75">
      <c r="M908" s="47"/>
      <c r="Q908" s="47"/>
    </row>
    <row r="909" spans="13:17" ht="12.75">
      <c r="M909" s="47"/>
      <c r="Q909" s="47"/>
    </row>
    <row r="910" spans="13:17" ht="12.75">
      <c r="M910" s="47"/>
      <c r="Q910" s="47"/>
    </row>
    <row r="911" spans="13:17" ht="12.75">
      <c r="M911" s="47"/>
      <c r="Q911" s="47"/>
    </row>
    <row r="912" spans="13:17" ht="12.75">
      <c r="M912" s="47"/>
      <c r="Q912" s="47"/>
    </row>
    <row r="913" spans="13:17" ht="12.75">
      <c r="M913" s="47"/>
      <c r="Q913" s="47"/>
    </row>
    <row r="914" spans="13:17" ht="12.75">
      <c r="M914" s="47"/>
      <c r="Q914" s="47"/>
    </row>
    <row r="915" spans="13:17" ht="12.75">
      <c r="M915" s="47"/>
      <c r="Q915" s="47"/>
    </row>
    <row r="916" spans="13:17" ht="12.75">
      <c r="M916" s="47"/>
      <c r="Q916" s="47"/>
    </row>
    <row r="917" spans="13:17" ht="12.75">
      <c r="M917" s="47"/>
      <c r="Q917" s="47"/>
    </row>
    <row r="918" spans="13:17" ht="12.75">
      <c r="M918" s="47"/>
      <c r="Q918" s="47"/>
    </row>
    <row r="919" spans="13:17" ht="12.75">
      <c r="M919" s="47"/>
      <c r="Q919" s="47"/>
    </row>
    <row r="920" spans="13:17" ht="12.75">
      <c r="M920" s="47"/>
      <c r="Q920" s="47"/>
    </row>
    <row r="921" spans="13:17" ht="12.75">
      <c r="M921" s="47"/>
      <c r="Q921" s="47"/>
    </row>
    <row r="922" spans="13:17" ht="12.75">
      <c r="M922" s="47"/>
      <c r="Q922" s="47"/>
    </row>
    <row r="923" spans="13:17" ht="12.75">
      <c r="M923" s="47"/>
      <c r="Q923" s="47"/>
    </row>
    <row r="924" spans="13:17" ht="12.75">
      <c r="M924" s="47"/>
      <c r="Q924" s="47"/>
    </row>
    <row r="925" spans="13:17" ht="12.75">
      <c r="M925" s="47"/>
      <c r="Q925" s="47"/>
    </row>
    <row r="926" spans="13:17" ht="12.75">
      <c r="M926" s="47"/>
      <c r="Q926" s="47"/>
    </row>
    <row r="927" spans="13:17" ht="12.75">
      <c r="M927" s="47"/>
      <c r="Q927" s="47"/>
    </row>
    <row r="928" spans="13:17" ht="12.75">
      <c r="M928" s="47"/>
      <c r="Q928" s="47"/>
    </row>
    <row r="929" spans="13:17" ht="12.75">
      <c r="M929" s="47"/>
      <c r="Q929" s="47"/>
    </row>
    <row r="930" spans="13:17" ht="12.75">
      <c r="M930" s="47"/>
      <c r="Q930" s="47"/>
    </row>
    <row r="931" spans="13:17" ht="12.75">
      <c r="M931" s="47"/>
      <c r="Q931" s="47"/>
    </row>
    <row r="932" spans="13:17" ht="12.75">
      <c r="M932" s="47"/>
      <c r="Q932" s="47"/>
    </row>
    <row r="933" spans="13:17" ht="12.75">
      <c r="M933" s="47"/>
      <c r="Q933" s="47"/>
    </row>
    <row r="934" spans="13:17" ht="12.75">
      <c r="M934" s="47"/>
      <c r="Q934" s="47"/>
    </row>
    <row r="935" spans="13:17" ht="12.75">
      <c r="M935" s="47"/>
      <c r="Q935" s="47"/>
    </row>
    <row r="936" spans="13:17" ht="12.75">
      <c r="M936" s="47"/>
      <c r="Q936" s="47"/>
    </row>
    <row r="937" spans="13:17" ht="12.75">
      <c r="M937" s="47"/>
      <c r="Q937" s="47"/>
    </row>
    <row r="938" spans="13:17" ht="12.75">
      <c r="M938" s="47"/>
      <c r="Q938" s="47"/>
    </row>
    <row r="939" spans="13:17" ht="12.75">
      <c r="M939" s="47"/>
      <c r="Q939" s="47"/>
    </row>
    <row r="940" spans="13:17" ht="12.75">
      <c r="M940" s="47"/>
      <c r="Q940" s="47"/>
    </row>
    <row r="941" spans="13:17" ht="12.75">
      <c r="M941" s="47"/>
      <c r="Q941" s="47"/>
    </row>
    <row r="942" spans="13:17" ht="12.75">
      <c r="M942" s="47"/>
      <c r="Q942" s="47"/>
    </row>
    <row r="943" spans="13:17" ht="12.75">
      <c r="M943" s="47"/>
      <c r="Q943" s="47"/>
    </row>
    <row r="944" spans="13:17" ht="12.75">
      <c r="M944" s="47"/>
      <c r="Q944" s="47"/>
    </row>
    <row r="945" spans="13:17" ht="12.75">
      <c r="M945" s="47"/>
      <c r="Q945" s="47"/>
    </row>
    <row r="946" spans="13:17" ht="12.75">
      <c r="M946" s="47"/>
      <c r="Q946" s="47"/>
    </row>
    <row r="947" spans="13:17" ht="12.75">
      <c r="M947" s="47"/>
      <c r="Q947" s="47"/>
    </row>
    <row r="948" spans="13:17" ht="12.75">
      <c r="M948" s="47"/>
      <c r="Q948" s="47"/>
    </row>
    <row r="949" spans="13:17" ht="12.75">
      <c r="M949" s="47"/>
      <c r="Q949" s="47"/>
    </row>
    <row r="950" spans="13:17" ht="12.75">
      <c r="M950" s="47"/>
      <c r="Q950" s="47"/>
    </row>
    <row r="951" spans="13:17" ht="12.75">
      <c r="M951" s="47"/>
      <c r="Q951" s="47"/>
    </row>
    <row r="952" spans="13:17" ht="12.75">
      <c r="M952" s="47"/>
      <c r="Q952" s="47"/>
    </row>
    <row r="953" spans="13:17" ht="12.75">
      <c r="M953" s="47"/>
      <c r="Q953" s="47"/>
    </row>
    <row r="954" spans="13:17" ht="12.75">
      <c r="M954" s="47"/>
      <c r="Q954" s="47"/>
    </row>
    <row r="955" spans="13:17" ht="12.75">
      <c r="M955" s="47"/>
      <c r="Q955" s="47"/>
    </row>
    <row r="956" spans="13:17" ht="12.75">
      <c r="M956" s="47"/>
      <c r="Q956" s="47"/>
    </row>
    <row r="957" spans="13:17" ht="12.75">
      <c r="M957" s="47"/>
      <c r="Q957" s="47"/>
    </row>
    <row r="958" spans="13:17" ht="12.75">
      <c r="M958" s="47"/>
      <c r="Q958" s="47"/>
    </row>
    <row r="959" spans="13:17" ht="12.75">
      <c r="M959" s="47"/>
      <c r="Q959" s="47"/>
    </row>
    <row r="960" spans="13:17" ht="12.75">
      <c r="M960" s="47"/>
      <c r="Q960" s="47"/>
    </row>
    <row r="961" spans="13:17" ht="12.75">
      <c r="M961" s="47"/>
      <c r="Q961" s="47"/>
    </row>
    <row r="962" spans="13:17" ht="12.75">
      <c r="M962" s="47"/>
      <c r="Q962" s="47"/>
    </row>
    <row r="963" spans="13:17" ht="12.75">
      <c r="M963" s="47"/>
      <c r="Q963" s="47"/>
    </row>
    <row r="964" spans="13:17" ht="12.75">
      <c r="M964" s="47"/>
      <c r="Q964" s="47"/>
    </row>
    <row r="965" spans="13:17" ht="12.75">
      <c r="M965" s="47"/>
      <c r="Q965" s="47"/>
    </row>
    <row r="966" spans="13:17" ht="12.75">
      <c r="M966" s="47"/>
      <c r="Q966" s="47"/>
    </row>
    <row r="967" spans="13:17" ht="12.75">
      <c r="M967" s="47"/>
      <c r="Q967" s="47"/>
    </row>
    <row r="968" spans="13:17" ht="12.75">
      <c r="M968" s="47"/>
      <c r="Q968" s="47"/>
    </row>
    <row r="969" spans="13:17" ht="12.75">
      <c r="M969" s="47"/>
      <c r="Q969" s="47"/>
    </row>
    <row r="970" spans="13:17" ht="12.75">
      <c r="M970" s="47"/>
      <c r="Q970" s="47"/>
    </row>
    <row r="971" spans="13:17" ht="12.75">
      <c r="M971" s="47"/>
      <c r="Q971" s="47"/>
    </row>
    <row r="972" spans="13:17" ht="12.75">
      <c r="M972" s="47"/>
      <c r="Q972" s="47"/>
    </row>
    <row r="973" spans="13:17" ht="12.75">
      <c r="M973" s="47"/>
      <c r="Q973" s="47"/>
    </row>
    <row r="974" spans="13:17" ht="12.75">
      <c r="M974" s="47"/>
      <c r="Q974" s="47"/>
    </row>
    <row r="975" spans="13:17" ht="12.75">
      <c r="M975" s="47"/>
      <c r="Q975" s="47"/>
    </row>
    <row r="976" spans="13:17" ht="12.75">
      <c r="M976" s="47"/>
      <c r="Q976" s="47"/>
    </row>
    <row r="977" spans="13:17" ht="12.75">
      <c r="M977" s="47"/>
      <c r="Q977" s="47"/>
    </row>
    <row r="978" spans="13:17" ht="12.75">
      <c r="M978" s="47"/>
      <c r="Q978" s="47"/>
    </row>
    <row r="979" spans="13:17" ht="12.75">
      <c r="M979" s="47"/>
      <c r="Q979" s="47"/>
    </row>
    <row r="980" spans="13:17" ht="12.75">
      <c r="M980" s="47"/>
      <c r="Q980" s="47"/>
    </row>
    <row r="981" spans="13:17" ht="12.75">
      <c r="M981" s="47"/>
      <c r="Q981" s="47"/>
    </row>
    <row r="982" spans="13:17" ht="12.75">
      <c r="M982" s="47"/>
      <c r="Q982" s="47"/>
    </row>
    <row r="983" spans="13:17" ht="12.75">
      <c r="M983" s="47"/>
      <c r="Q983" s="47"/>
    </row>
    <row r="984" spans="13:17" ht="12.75">
      <c r="M984" s="47"/>
      <c r="Q984" s="47"/>
    </row>
    <row r="985" spans="13:17" ht="12.75">
      <c r="M985" s="47"/>
      <c r="Q985" s="47"/>
    </row>
    <row r="986" spans="13:17" ht="12.75">
      <c r="M986" s="47"/>
      <c r="Q986" s="47"/>
    </row>
    <row r="987" spans="13:17" ht="12.75">
      <c r="M987" s="47"/>
      <c r="Q987" s="47"/>
    </row>
    <row r="988" spans="13:17" ht="12.75">
      <c r="M988" s="47"/>
      <c r="Q988" s="47"/>
    </row>
    <row r="989" spans="13:17" ht="12.75">
      <c r="M989" s="47"/>
      <c r="Q989" s="47"/>
    </row>
    <row r="990" spans="13:17" ht="12.75">
      <c r="M990" s="47"/>
      <c r="Q990" s="47"/>
    </row>
    <row r="991" spans="13:17" ht="12.75">
      <c r="M991" s="47"/>
      <c r="Q991" s="47"/>
    </row>
    <row r="992" spans="13:17" ht="12.75">
      <c r="M992" s="47"/>
      <c r="Q992" s="47"/>
    </row>
    <row r="993" spans="13:17" ht="12.75">
      <c r="M993" s="47"/>
      <c r="Q993" s="47"/>
    </row>
    <row r="994" spans="13:17" ht="12.75">
      <c r="M994" s="47"/>
      <c r="Q994" s="47"/>
    </row>
    <row r="995" spans="13:17" ht="12.75">
      <c r="M995" s="47"/>
      <c r="Q995" s="47"/>
    </row>
    <row r="996" spans="13:17" ht="12.75">
      <c r="M996" s="47"/>
      <c r="Q996" s="47"/>
    </row>
    <row r="997" spans="13:17" ht="12.75">
      <c r="M997" s="47"/>
      <c r="Q997" s="47"/>
    </row>
    <row r="998" spans="13:17" ht="12.75">
      <c r="M998" s="47"/>
      <c r="Q998" s="47"/>
    </row>
    <row r="999" spans="13:17" ht="12.75">
      <c r="M999" s="47"/>
      <c r="Q999" s="47"/>
    </row>
    <row r="1000" spans="13:17" ht="12.75">
      <c r="M1000" s="47"/>
      <c r="Q1000" s="47"/>
    </row>
    <row r="1001" spans="13:17" ht="12.75">
      <c r="M1001" s="47"/>
      <c r="Q1001" s="47"/>
    </row>
    <row r="1002" spans="13:17" ht="12.75">
      <c r="M1002" s="47"/>
      <c r="Q1002" s="47"/>
    </row>
    <row r="1003" spans="13:17" ht="12.75">
      <c r="M1003" s="47"/>
      <c r="Q1003" s="47"/>
    </row>
    <row r="1004" spans="13:17" ht="12.75">
      <c r="M1004" s="47"/>
      <c r="Q1004" s="47"/>
    </row>
    <row r="1005" spans="13:17" ht="12.75">
      <c r="M1005" s="47"/>
      <c r="Q1005" s="47"/>
    </row>
    <row r="1006" spans="13:17" ht="12.75">
      <c r="M1006" s="47"/>
      <c r="Q1006" s="47"/>
    </row>
    <row r="1007" spans="13:17" ht="12.75">
      <c r="M1007" s="47"/>
      <c r="Q1007" s="47"/>
    </row>
    <row r="1008" spans="13:17" ht="12.75">
      <c r="M1008" s="47"/>
      <c r="Q1008" s="47"/>
    </row>
    <row r="1009" spans="13:17" ht="12.75">
      <c r="M1009" s="47"/>
      <c r="Q1009" s="47"/>
    </row>
    <row r="1010" spans="13:17" ht="12.75">
      <c r="M1010" s="47"/>
      <c r="Q1010" s="47"/>
    </row>
    <row r="1011" spans="13:17" ht="12.75">
      <c r="M1011" s="47"/>
      <c r="Q1011" s="47"/>
    </row>
    <row r="1012" spans="13:17" ht="12.75">
      <c r="M1012" s="47"/>
      <c r="Q1012" s="47"/>
    </row>
    <row r="1013" spans="13:17" ht="12.75">
      <c r="M1013" s="47"/>
      <c r="Q1013" s="47"/>
    </row>
    <row r="1014" spans="13:17" ht="12.75">
      <c r="M1014" s="47"/>
      <c r="Q1014" s="47"/>
    </row>
    <row r="1015" spans="13:17" ht="12.75">
      <c r="M1015" s="47"/>
      <c r="Q1015" s="47"/>
    </row>
    <row r="1016" spans="13:17" ht="12.75">
      <c r="M1016" s="47"/>
      <c r="Q1016" s="47"/>
    </row>
    <row r="1017" spans="13:17" ht="12.75">
      <c r="M1017" s="47"/>
      <c r="Q1017" s="47"/>
    </row>
    <row r="1018" spans="13:17" ht="12.75">
      <c r="M1018" s="47"/>
      <c r="Q1018" s="47"/>
    </row>
    <row r="1019" spans="13:17" ht="12.75">
      <c r="M1019" s="47"/>
      <c r="Q1019" s="47"/>
    </row>
    <row r="1020" spans="13:17" ht="12.75">
      <c r="M1020" s="47"/>
      <c r="Q1020" s="47"/>
    </row>
    <row r="1021" spans="13:17" ht="12.75">
      <c r="M1021" s="47"/>
      <c r="Q1021" s="47"/>
    </row>
    <row r="1022" spans="13:17" ht="12.75">
      <c r="M1022" s="47"/>
      <c r="Q1022" s="47"/>
    </row>
    <row r="1023" spans="13:17" ht="12.75">
      <c r="M1023" s="47"/>
      <c r="Q1023" s="47"/>
    </row>
    <row r="1024" spans="13:17" ht="12.75">
      <c r="M1024" s="47"/>
      <c r="Q1024" s="47"/>
    </row>
    <row r="1025" spans="13:17" ht="12.75">
      <c r="M1025" s="47"/>
      <c r="Q1025" s="47"/>
    </row>
    <row r="1026" spans="13:17" ht="12.75">
      <c r="M1026" s="47"/>
      <c r="Q1026" s="47"/>
    </row>
    <row r="1027" spans="13:17" ht="12.75">
      <c r="M1027" s="47"/>
      <c r="Q1027" s="47"/>
    </row>
    <row r="1028" spans="13:17" ht="12.75">
      <c r="M1028" s="47"/>
      <c r="Q1028" s="47"/>
    </row>
    <row r="1029" spans="13:17" ht="12.75">
      <c r="M1029" s="47"/>
      <c r="Q1029" s="47"/>
    </row>
    <row r="1030" spans="13:17" ht="12.75">
      <c r="M1030" s="47"/>
      <c r="Q1030" s="47"/>
    </row>
    <row r="1031" spans="13:17" ht="12.75">
      <c r="M1031" s="47"/>
      <c r="Q1031" s="47"/>
    </row>
    <row r="1032" spans="13:17" ht="12.75">
      <c r="M1032" s="47"/>
      <c r="Q1032" s="47"/>
    </row>
    <row r="1033" spans="13:17" ht="12.75">
      <c r="M1033" s="47"/>
      <c r="Q1033" s="47"/>
    </row>
    <row r="1034" spans="13:17" ht="12.75">
      <c r="M1034" s="47"/>
      <c r="Q1034" s="47"/>
    </row>
    <row r="1035" spans="13:17" ht="12.75">
      <c r="M1035" s="47"/>
      <c r="Q1035" s="47"/>
    </row>
    <row r="1036" spans="13:17" ht="12.75">
      <c r="M1036" s="47"/>
      <c r="Q1036" s="47"/>
    </row>
    <row r="1037" spans="13:17" ht="12.75">
      <c r="M1037" s="47"/>
      <c r="Q1037" s="47"/>
    </row>
    <row r="1038" spans="13:17" ht="12.75">
      <c r="M1038" s="47"/>
      <c r="Q1038" s="47"/>
    </row>
    <row r="1039" spans="13:17" ht="12.75">
      <c r="M1039" s="47"/>
      <c r="Q1039" s="47"/>
    </row>
    <row r="1040" spans="13:17" ht="12.75">
      <c r="M1040" s="47"/>
      <c r="Q1040" s="47"/>
    </row>
    <row r="1041" spans="13:17" ht="12.75">
      <c r="M1041" s="47"/>
      <c r="Q1041" s="47"/>
    </row>
    <row r="1042" spans="13:17" ht="12.75">
      <c r="M1042" s="47"/>
      <c r="Q1042" s="47"/>
    </row>
    <row r="1043" spans="13:17" ht="12.75">
      <c r="M1043" s="47"/>
      <c r="Q1043" s="47"/>
    </row>
    <row r="1044" spans="13:17" ht="12.75">
      <c r="M1044" s="47"/>
      <c r="Q1044" s="47"/>
    </row>
    <row r="1045" spans="13:17" ht="12.75">
      <c r="M1045" s="47"/>
      <c r="Q1045" s="47"/>
    </row>
    <row r="1046" spans="13:17" ht="12.75">
      <c r="M1046" s="47"/>
      <c r="Q1046" s="47"/>
    </row>
    <row r="1047" spans="13:17" ht="12.75">
      <c r="M1047" s="47"/>
      <c r="Q1047" s="47"/>
    </row>
    <row r="1048" spans="13:17" ht="12.75">
      <c r="M1048" s="47"/>
      <c r="Q1048" s="47"/>
    </row>
    <row r="1049" spans="13:17" ht="12.75">
      <c r="M1049" s="47"/>
      <c r="Q1049" s="47"/>
    </row>
    <row r="1050" spans="13:17" ht="12.75">
      <c r="M1050" s="47"/>
      <c r="Q1050" s="47"/>
    </row>
    <row r="1051" spans="13:17" ht="12.75">
      <c r="M1051" s="47"/>
      <c r="Q1051" s="47"/>
    </row>
    <row r="1052" spans="13:17" ht="12.75">
      <c r="M1052" s="47"/>
      <c r="Q1052" s="47"/>
    </row>
    <row r="1053" spans="13:17" ht="12.75">
      <c r="M1053" s="47"/>
      <c r="Q1053" s="47"/>
    </row>
    <row r="1054" spans="13:17" ht="12.75">
      <c r="M1054" s="47"/>
      <c r="Q1054" s="47"/>
    </row>
    <row r="1055" spans="13:17" ht="12.75">
      <c r="M1055" s="47"/>
      <c r="Q1055" s="47"/>
    </row>
    <row r="1056" spans="13:17" ht="12.75">
      <c r="M1056" s="47"/>
      <c r="Q1056" s="47"/>
    </row>
    <row r="1057" spans="13:17" ht="12.75">
      <c r="M1057" s="47"/>
      <c r="Q1057" s="47"/>
    </row>
    <row r="1058" spans="13:17" ht="12.75">
      <c r="M1058" s="47"/>
      <c r="Q1058" s="47"/>
    </row>
    <row r="1059" spans="13:17" ht="12.75">
      <c r="M1059" s="47"/>
      <c r="Q1059" s="47"/>
    </row>
    <row r="1060" spans="13:17" ht="12.75">
      <c r="M1060" s="47"/>
      <c r="Q1060" s="47"/>
    </row>
    <row r="1061" spans="13:17" ht="12.75">
      <c r="M1061" s="47"/>
      <c r="Q1061" s="47"/>
    </row>
    <row r="1062" spans="13:17" ht="12.75">
      <c r="M1062" s="47"/>
      <c r="Q1062" s="47"/>
    </row>
    <row r="1063" spans="13:17" ht="12.75">
      <c r="M1063" s="47"/>
      <c r="Q1063" s="47"/>
    </row>
    <row r="1064" spans="13:17" ht="12.75">
      <c r="M1064" s="47"/>
      <c r="Q1064" s="47"/>
    </row>
    <row r="1065" spans="13:17" ht="12.75">
      <c r="M1065" s="47"/>
      <c r="Q1065" s="47"/>
    </row>
    <row r="1066" spans="13:17" ht="12.75">
      <c r="M1066" s="47"/>
      <c r="Q1066" s="47"/>
    </row>
    <row r="1067" spans="13:17" ht="12.75">
      <c r="M1067" s="47"/>
      <c r="Q1067" s="47"/>
    </row>
    <row r="1068" spans="13:17" ht="12.75">
      <c r="M1068" s="47"/>
      <c r="Q1068" s="47"/>
    </row>
    <row r="1069" spans="13:17" ht="12.75">
      <c r="M1069" s="47"/>
      <c r="Q1069" s="47"/>
    </row>
    <row r="1070" spans="13:17" ht="12.75">
      <c r="M1070" s="47"/>
      <c r="Q1070" s="47"/>
    </row>
    <row r="1071" spans="13:17" ht="12.75">
      <c r="M1071" s="47"/>
      <c r="Q1071" s="47"/>
    </row>
    <row r="1072" spans="13:17" ht="12.75">
      <c r="M1072" s="47"/>
      <c r="Q1072" s="47"/>
    </row>
    <row r="1073" spans="13:17" ht="12.75">
      <c r="M1073" s="47"/>
      <c r="Q1073" s="47"/>
    </row>
    <row r="1074" spans="13:17" ht="12.75">
      <c r="M1074" s="47"/>
      <c r="Q1074" s="47"/>
    </row>
    <row r="1075" spans="13:17" ht="12.75">
      <c r="M1075" s="47"/>
      <c r="Q1075" s="47"/>
    </row>
    <row r="1076" spans="13:17" ht="12.75">
      <c r="M1076" s="47"/>
      <c r="Q1076" s="47"/>
    </row>
    <row r="1077" spans="13:17" ht="12.75">
      <c r="M1077" s="47"/>
      <c r="Q1077" s="47"/>
    </row>
    <row r="1078" spans="13:17" ht="12.75">
      <c r="M1078" s="47"/>
      <c r="Q1078" s="47"/>
    </row>
    <row r="1079" spans="13:17" ht="12.75">
      <c r="M1079" s="47"/>
      <c r="Q1079" s="47"/>
    </row>
    <row r="1080" spans="13:17" ht="12.75">
      <c r="M1080" s="47"/>
      <c r="Q1080" s="47"/>
    </row>
    <row r="1081" spans="13:17" ht="12.75">
      <c r="M1081" s="47"/>
      <c r="Q1081" s="47"/>
    </row>
    <row r="1082" spans="13:17" ht="12.75">
      <c r="M1082" s="47"/>
      <c r="Q1082" s="47"/>
    </row>
    <row r="1083" spans="13:17" ht="12.75">
      <c r="M1083" s="47"/>
      <c r="Q1083" s="47"/>
    </row>
    <row r="1084" spans="13:17" ht="12.75">
      <c r="M1084" s="47"/>
      <c r="Q1084" s="47"/>
    </row>
    <row r="1085" spans="13:17" ht="12.75">
      <c r="M1085" s="47"/>
      <c r="Q1085" s="47"/>
    </row>
    <row r="1086" spans="13:17" ht="12.75">
      <c r="M1086" s="47"/>
      <c r="Q1086" s="47"/>
    </row>
    <row r="1087" spans="13:17" ht="12.75">
      <c r="M1087" s="47"/>
      <c r="Q1087" s="47"/>
    </row>
    <row r="1088" spans="13:17" ht="12.75">
      <c r="M1088" s="47"/>
      <c r="Q1088" s="47"/>
    </row>
    <row r="1089" spans="13:17" ht="12.75">
      <c r="M1089" s="47"/>
      <c r="Q1089" s="47"/>
    </row>
    <row r="1090" spans="13:17" ht="12.75">
      <c r="M1090" s="47"/>
      <c r="Q1090" s="47"/>
    </row>
    <row r="1091" spans="13:17" ht="12.75">
      <c r="M1091" s="47"/>
      <c r="Q1091" s="47"/>
    </row>
    <row r="1092" spans="13:17" ht="12.75">
      <c r="M1092" s="47"/>
      <c r="Q1092" s="47"/>
    </row>
    <row r="1093" spans="13:17" ht="12.75">
      <c r="M1093" s="47"/>
      <c r="Q1093" s="47"/>
    </row>
    <row r="1094" spans="13:17" ht="12.75">
      <c r="M1094" s="47"/>
      <c r="Q1094" s="47"/>
    </row>
    <row r="1095" spans="13:17" ht="12.75">
      <c r="M1095" s="47"/>
      <c r="Q1095" s="47"/>
    </row>
    <row r="1096" spans="13:17" ht="12.75">
      <c r="M1096" s="47"/>
      <c r="Q1096" s="47"/>
    </row>
    <row r="1097" spans="13:17" ht="12.75">
      <c r="M1097" s="47"/>
      <c r="Q1097" s="47"/>
    </row>
    <row r="1098" spans="13:17" ht="12.75">
      <c r="M1098" s="47"/>
      <c r="Q1098" s="47"/>
    </row>
    <row r="1099" spans="13:17" ht="12.75">
      <c r="M1099" s="47"/>
      <c r="Q1099" s="47"/>
    </row>
    <row r="1100" spans="13:17" ht="12.75">
      <c r="M1100" s="47"/>
      <c r="Q1100" s="47"/>
    </row>
    <row r="1101" spans="13:17" ht="12.75">
      <c r="M1101" s="47"/>
      <c r="Q1101" s="47"/>
    </row>
    <row r="1102" spans="13:17" ht="12.75">
      <c r="M1102" s="47"/>
      <c r="Q1102" s="47"/>
    </row>
    <row r="1103" spans="13:17" ht="12.75">
      <c r="M1103" s="47"/>
      <c r="Q1103" s="47"/>
    </row>
    <row r="1104" spans="13:17" ht="12.75">
      <c r="M1104" s="47"/>
      <c r="Q1104" s="47"/>
    </row>
    <row r="1105" spans="13:17" ht="12.75">
      <c r="M1105" s="47"/>
      <c r="Q1105" s="47"/>
    </row>
    <row r="1106" spans="13:17" ht="12.75">
      <c r="M1106" s="47"/>
      <c r="Q1106" s="47"/>
    </row>
    <row r="1107" spans="13:17" ht="12.75">
      <c r="M1107" s="47"/>
      <c r="Q1107" s="47"/>
    </row>
    <row r="1108" spans="13:17" ht="12.75">
      <c r="M1108" s="47"/>
      <c r="Q1108" s="47"/>
    </row>
    <row r="1109" spans="13:17" ht="12.75">
      <c r="M1109" s="47"/>
      <c r="Q1109" s="47"/>
    </row>
    <row r="1110" spans="13:17" ht="12.75">
      <c r="M1110" s="47"/>
      <c r="Q1110" s="47"/>
    </row>
    <row r="1111" spans="13:17" ht="12.75">
      <c r="M1111" s="47"/>
      <c r="Q1111" s="47"/>
    </row>
    <row r="1112" spans="13:17" ht="12.75">
      <c r="M1112" s="47"/>
      <c r="Q1112" s="47"/>
    </row>
    <row r="1113" spans="13:17" ht="12.75">
      <c r="M1113" s="47"/>
      <c r="Q1113" s="47"/>
    </row>
    <row r="1114" spans="13:17" ht="12.75">
      <c r="M1114" s="47"/>
      <c r="Q1114" s="47"/>
    </row>
    <row r="1115" spans="13:17" ht="12.75">
      <c r="M1115" s="47"/>
      <c r="Q1115" s="47"/>
    </row>
    <row r="1116" spans="13:17" ht="12.75">
      <c r="M1116" s="47"/>
      <c r="Q1116" s="47"/>
    </row>
    <row r="1117" spans="13:17" ht="12.75">
      <c r="M1117" s="47"/>
      <c r="Q1117" s="47"/>
    </row>
    <row r="1118" spans="13:17" ht="12.75">
      <c r="M1118" s="47"/>
      <c r="Q1118" s="47"/>
    </row>
    <row r="1119" spans="13:17" ht="12.75">
      <c r="M1119" s="47"/>
      <c r="Q1119" s="47"/>
    </row>
    <row r="1120" spans="13:17" ht="12.75">
      <c r="M1120" s="47"/>
      <c r="Q1120" s="47"/>
    </row>
    <row r="1121" spans="13:17" ht="12.75">
      <c r="M1121" s="47"/>
      <c r="Q1121" s="47"/>
    </row>
    <row r="1122" spans="13:17" ht="12.75">
      <c r="M1122" s="47"/>
      <c r="Q1122" s="47"/>
    </row>
    <row r="1123" spans="13:17" ht="12.75">
      <c r="M1123" s="47"/>
      <c r="Q1123" s="47"/>
    </row>
    <row r="1124" spans="13:17" ht="12.75">
      <c r="M1124" s="47"/>
      <c r="Q1124" s="47"/>
    </row>
    <row r="1125" spans="13:17" ht="12.75">
      <c r="M1125" s="47"/>
      <c r="Q1125" s="47"/>
    </row>
    <row r="1126" spans="13:17" ht="12.75">
      <c r="M1126" s="47"/>
      <c r="Q1126" s="47"/>
    </row>
    <row r="1127" spans="13:17" ht="12.75">
      <c r="M1127" s="47"/>
      <c r="Q1127" s="47"/>
    </row>
    <row r="1128" spans="13:17" ht="12.75">
      <c r="M1128" s="47"/>
      <c r="Q1128" s="47"/>
    </row>
    <row r="1129" spans="13:17" ht="12.75">
      <c r="M1129" s="47"/>
      <c r="Q1129" s="47"/>
    </row>
    <row r="1130" spans="13:17" ht="12.75">
      <c r="M1130" s="47"/>
      <c r="Q1130" s="47"/>
    </row>
    <row r="1131" spans="13:17" ht="12.75">
      <c r="M1131" s="47"/>
      <c r="Q1131" s="47"/>
    </row>
    <row r="1132" spans="13:17" ht="12.75">
      <c r="M1132" s="47"/>
      <c r="Q1132" s="47"/>
    </row>
    <row r="1133" spans="13:17" ht="12.75">
      <c r="M1133" s="47"/>
      <c r="Q1133" s="47"/>
    </row>
    <row r="1134" spans="13:17" ht="12.75">
      <c r="M1134" s="47"/>
      <c r="Q1134" s="47"/>
    </row>
    <row r="1135" spans="13:17" ht="12.75">
      <c r="M1135" s="47"/>
      <c r="Q1135" s="47"/>
    </row>
    <row r="1136" spans="13:17" ht="12.75">
      <c r="M1136" s="47"/>
      <c r="Q1136" s="47"/>
    </row>
    <row r="1137" spans="13:17" ht="12.75">
      <c r="M1137" s="47"/>
      <c r="Q1137" s="47"/>
    </row>
    <row r="1138" spans="13:17" ht="12.75">
      <c r="M1138" s="47"/>
      <c r="Q1138" s="47"/>
    </row>
    <row r="1139" spans="13:17" ht="12.75">
      <c r="M1139" s="47"/>
      <c r="Q1139" s="47"/>
    </row>
    <row r="1140" spans="13:17" ht="12.75">
      <c r="M1140" s="47"/>
      <c r="Q1140" s="47"/>
    </row>
    <row r="1141" spans="13:17" ht="12.75">
      <c r="M1141" s="47"/>
      <c r="Q1141" s="47"/>
    </row>
    <row r="1142" spans="13:17" ht="12.75">
      <c r="M1142" s="47"/>
      <c r="Q1142" s="47"/>
    </row>
    <row r="1143" spans="13:17" ht="12.75">
      <c r="M1143" s="47"/>
      <c r="Q1143" s="47"/>
    </row>
    <row r="1144" spans="13:17" ht="12.75">
      <c r="M1144" s="47"/>
      <c r="Q1144" s="47"/>
    </row>
    <row r="1145" spans="13:17" ht="12.75">
      <c r="M1145" s="47"/>
      <c r="Q1145" s="47"/>
    </row>
    <row r="1146" spans="13:17" ht="12.75">
      <c r="M1146" s="47"/>
      <c r="Q1146" s="47"/>
    </row>
    <row r="1147" spans="13:17" ht="12.75">
      <c r="M1147" s="47"/>
      <c r="Q1147" s="47"/>
    </row>
    <row r="1148" spans="13:17" ht="12.75">
      <c r="M1148" s="47"/>
      <c r="Q1148" s="47"/>
    </row>
    <row r="1149" spans="13:17" ht="12.75">
      <c r="M1149" s="47"/>
      <c r="Q1149" s="47"/>
    </row>
    <row r="1150" spans="13:17" ht="12.75">
      <c r="M1150" s="47"/>
      <c r="Q1150" s="47"/>
    </row>
    <row r="1151" spans="13:17" ht="12.75">
      <c r="M1151" s="47"/>
      <c r="Q1151" s="47"/>
    </row>
    <row r="1152" spans="13:17" ht="12.75">
      <c r="M1152" s="47"/>
      <c r="Q1152" s="47"/>
    </row>
    <row r="1153" spans="13:17" ht="12.75">
      <c r="M1153" s="47"/>
      <c r="Q1153" s="47"/>
    </row>
    <row r="1154" spans="13:17" ht="12.75">
      <c r="M1154" s="47"/>
      <c r="Q1154" s="47"/>
    </row>
    <row r="1155" spans="13:17" ht="12.75">
      <c r="M1155" s="47"/>
      <c r="Q1155" s="47"/>
    </row>
    <row r="1156" spans="13:17" ht="12.75">
      <c r="M1156" s="47"/>
      <c r="Q1156" s="47"/>
    </row>
    <row r="1157" spans="13:17" ht="12.75">
      <c r="M1157" s="47"/>
      <c r="Q1157" s="47"/>
    </row>
    <row r="1158" spans="13:17" ht="12.75">
      <c r="M1158" s="47"/>
      <c r="Q1158" s="47"/>
    </row>
    <row r="1159" spans="13:17" ht="12.75">
      <c r="M1159" s="47"/>
      <c r="Q1159" s="47"/>
    </row>
    <row r="1160" spans="13:17" ht="12.75">
      <c r="M1160" s="47"/>
      <c r="Q1160" s="47"/>
    </row>
    <row r="1161" spans="13:17" ht="12.75">
      <c r="M1161" s="47"/>
      <c r="Q1161" s="47"/>
    </row>
    <row r="1162" spans="13:17" ht="12.75">
      <c r="M1162" s="47"/>
      <c r="Q1162" s="47"/>
    </row>
    <row r="1163" spans="13:17" ht="12.75">
      <c r="M1163" s="47"/>
      <c r="Q1163" s="47"/>
    </row>
    <row r="1164" spans="13:17" ht="12.75">
      <c r="M1164" s="47"/>
      <c r="Q1164" s="47"/>
    </row>
    <row r="1165" spans="13:17" ht="12.75">
      <c r="M1165" s="47"/>
      <c r="Q1165" s="47"/>
    </row>
    <row r="1166" spans="13:17" ht="12.75">
      <c r="M1166" s="47"/>
      <c r="Q1166" s="47"/>
    </row>
    <row r="1167" spans="13:17" ht="12.75">
      <c r="M1167" s="47"/>
      <c r="Q1167" s="47"/>
    </row>
    <row r="1168" spans="13:17" ht="12.75">
      <c r="M1168" s="47"/>
      <c r="Q1168" s="47"/>
    </row>
    <row r="1169" spans="13:17" ht="12.75">
      <c r="M1169" s="47"/>
      <c r="Q1169" s="47"/>
    </row>
    <row r="1170" spans="13:17" ht="12.75">
      <c r="M1170" s="47"/>
      <c r="Q1170" s="47"/>
    </row>
    <row r="1171" spans="13:17" ht="12.75">
      <c r="M1171" s="47"/>
      <c r="Q1171" s="47"/>
    </row>
    <row r="1172" spans="13:17" ht="12.75">
      <c r="M1172" s="47"/>
      <c r="Q1172" s="47"/>
    </row>
    <row r="1173" spans="13:17" ht="12.75">
      <c r="M1173" s="47"/>
      <c r="Q1173" s="47"/>
    </row>
    <row r="1174" spans="13:17" ht="12.75">
      <c r="M1174" s="47"/>
      <c r="Q1174" s="47"/>
    </row>
    <row r="1175" spans="13:17" ht="12.75">
      <c r="M1175" s="47"/>
      <c r="Q1175" s="47"/>
    </row>
    <row r="1176" spans="13:17" ht="12.75">
      <c r="M1176" s="47"/>
      <c r="Q1176" s="47"/>
    </row>
    <row r="1177" spans="13:17" ht="12.75">
      <c r="M1177" s="47"/>
      <c r="Q1177" s="47"/>
    </row>
    <row r="1178" spans="13:17" ht="12.75">
      <c r="M1178" s="47"/>
      <c r="Q1178" s="47"/>
    </row>
    <row r="1179" spans="13:17" ht="12.75">
      <c r="M1179" s="47"/>
      <c r="Q1179" s="47"/>
    </row>
    <row r="1180" spans="13:17" ht="12.75">
      <c r="M1180" s="47"/>
      <c r="Q1180" s="47"/>
    </row>
    <row r="1181" spans="13:17" ht="12.75">
      <c r="M1181" s="47"/>
      <c r="Q1181" s="47"/>
    </row>
    <row r="1182" spans="13:17" ht="12.75">
      <c r="M1182" s="47"/>
      <c r="Q1182" s="47"/>
    </row>
    <row r="1183" spans="13:17" ht="12.75">
      <c r="M1183" s="47"/>
      <c r="Q1183" s="47"/>
    </row>
    <row r="1184" spans="13:17" ht="12.75">
      <c r="M1184" s="47"/>
      <c r="Q1184" s="47"/>
    </row>
    <row r="1185" spans="13:17" ht="12.75">
      <c r="M1185" s="47"/>
      <c r="Q1185" s="47"/>
    </row>
    <row r="1186" spans="13:17" ht="12.75">
      <c r="M1186" s="47"/>
      <c r="Q1186" s="47"/>
    </row>
    <row r="1187" spans="13:17" ht="12.75">
      <c r="M1187" s="47"/>
      <c r="Q1187" s="47"/>
    </row>
    <row r="1188" spans="13:17" ht="12.75">
      <c r="M1188" s="47"/>
      <c r="Q1188" s="47"/>
    </row>
    <row r="1189" spans="13:17" ht="12.75">
      <c r="M1189" s="47"/>
      <c r="Q1189" s="47"/>
    </row>
    <row r="1190" spans="13:17" ht="12.75">
      <c r="M1190" s="47"/>
      <c r="Q1190" s="47"/>
    </row>
    <row r="1191" spans="13:17" ht="12.75">
      <c r="M1191" s="47"/>
      <c r="Q1191" s="47"/>
    </row>
    <row r="1192" spans="13:17" ht="12.75">
      <c r="M1192" s="47"/>
      <c r="Q1192" s="47"/>
    </row>
    <row r="1193" spans="13:17" ht="12.75">
      <c r="M1193" s="47"/>
      <c r="Q1193" s="47"/>
    </row>
    <row r="1194" spans="13:17" ht="12.75">
      <c r="M1194" s="47"/>
      <c r="Q1194" s="47"/>
    </row>
    <row r="1195" spans="13:17" ht="12.75">
      <c r="M1195" s="47"/>
      <c r="Q1195" s="47"/>
    </row>
    <row r="1196" spans="13:17" ht="12.75">
      <c r="M1196" s="47"/>
      <c r="Q1196" s="47"/>
    </row>
    <row r="1197" spans="13:17" ht="12.75">
      <c r="M1197" s="47"/>
      <c r="Q1197" s="47"/>
    </row>
    <row r="1198" spans="13:17" ht="12.75">
      <c r="M1198" s="47"/>
      <c r="Q1198" s="47"/>
    </row>
    <row r="1199" spans="13:17" ht="12.75">
      <c r="M1199" s="47"/>
      <c r="Q1199" s="47"/>
    </row>
    <row r="1200" spans="13:17" ht="12.75">
      <c r="M1200" s="47"/>
      <c r="Q1200" s="47"/>
    </row>
    <row r="1201" spans="13:17" ht="12.75">
      <c r="M1201" s="47"/>
      <c r="Q1201" s="47"/>
    </row>
    <row r="1202" spans="13:17" ht="12.75">
      <c r="M1202" s="47"/>
      <c r="Q1202" s="47"/>
    </row>
    <row r="1203" spans="13:17" ht="12.75">
      <c r="M1203" s="47"/>
      <c r="Q1203" s="47"/>
    </row>
    <row r="1204" spans="13:17" ht="12.75">
      <c r="M1204" s="47"/>
      <c r="Q1204" s="47"/>
    </row>
    <row r="1205" spans="13:17" ht="12.75">
      <c r="M1205" s="47"/>
      <c r="Q1205" s="47"/>
    </row>
    <row r="1206" spans="13:17" ht="12.75">
      <c r="M1206" s="47"/>
      <c r="Q1206" s="47"/>
    </row>
    <row r="1207" spans="13:17" ht="12.75">
      <c r="M1207" s="47"/>
      <c r="Q1207" s="47"/>
    </row>
    <row r="1208" spans="13:17" ht="12.75">
      <c r="M1208" s="47"/>
      <c r="Q1208" s="47"/>
    </row>
    <row r="1209" spans="13:17" ht="12.75">
      <c r="M1209" s="47"/>
      <c r="Q1209" s="47"/>
    </row>
    <row r="1210" spans="13:17" ht="12.75">
      <c r="M1210" s="47"/>
      <c r="Q1210" s="47"/>
    </row>
    <row r="1211" spans="13:17" ht="12.75">
      <c r="M1211" s="47"/>
      <c r="Q1211" s="47"/>
    </row>
    <row r="1212" spans="13:17" ht="12.75">
      <c r="M1212" s="47"/>
      <c r="Q1212" s="47"/>
    </row>
    <row r="1213" spans="13:17" ht="12.75">
      <c r="M1213" s="47"/>
      <c r="Q1213" s="47"/>
    </row>
    <row r="1214" spans="13:17" ht="12.75">
      <c r="M1214" s="47"/>
      <c r="Q1214" s="47"/>
    </row>
    <row r="1215" spans="13:17" ht="12.75">
      <c r="M1215" s="47"/>
      <c r="Q1215" s="47"/>
    </row>
    <row r="1216" spans="13:17" ht="12.75">
      <c r="M1216" s="47"/>
      <c r="Q1216" s="47"/>
    </row>
    <row r="1217" spans="13:17" ht="12.75">
      <c r="M1217" s="47"/>
      <c r="Q1217" s="47"/>
    </row>
    <row r="1218" spans="13:17" ht="12.75">
      <c r="M1218" s="47"/>
      <c r="Q1218" s="47"/>
    </row>
    <row r="1219" spans="13:17" ht="12.75">
      <c r="M1219" s="47"/>
      <c r="Q1219" s="47"/>
    </row>
    <row r="1220" spans="13:17" ht="12.75">
      <c r="M1220" s="47"/>
      <c r="Q1220" s="47"/>
    </row>
    <row r="1221" spans="13:17" ht="12.75">
      <c r="M1221" s="47"/>
      <c r="Q1221" s="47"/>
    </row>
    <row r="1222" spans="13:17" ht="12.75">
      <c r="M1222" s="47"/>
      <c r="Q1222" s="47"/>
    </row>
    <row r="1223" spans="13:17" ht="12.75">
      <c r="M1223" s="47"/>
      <c r="Q1223" s="47"/>
    </row>
    <row r="1224" spans="13:17" ht="12.75">
      <c r="M1224" s="47"/>
      <c r="Q1224" s="47"/>
    </row>
    <row r="1225" spans="13:17" ht="12.75">
      <c r="M1225" s="47"/>
      <c r="Q1225" s="47"/>
    </row>
    <row r="1226" spans="13:17" ht="12.75">
      <c r="M1226" s="47"/>
      <c r="Q1226" s="47"/>
    </row>
    <row r="1227" spans="13:17" ht="12.75">
      <c r="M1227" s="47"/>
      <c r="Q1227" s="47"/>
    </row>
    <row r="1228" spans="13:17" ht="12.75">
      <c r="M1228" s="47"/>
      <c r="Q1228" s="47"/>
    </row>
    <row r="1229" spans="13:17" ht="12.75">
      <c r="M1229" s="47"/>
      <c r="Q1229" s="47"/>
    </row>
    <row r="1230" spans="13:17" ht="12.75">
      <c r="M1230" s="47"/>
      <c r="Q1230" s="47"/>
    </row>
    <row r="1231" spans="13:17" ht="12.75">
      <c r="M1231" s="47"/>
      <c r="Q1231" s="47"/>
    </row>
    <row r="1232" spans="13:17" ht="12.75">
      <c r="M1232" s="47"/>
      <c r="Q1232" s="47"/>
    </row>
    <row r="1233" spans="13:17" ht="12.75">
      <c r="M1233" s="47"/>
      <c r="Q1233" s="47"/>
    </row>
    <row r="1234" spans="13:17" ht="12.75">
      <c r="M1234" s="47"/>
      <c r="Q1234" s="47"/>
    </row>
    <row r="1235" spans="13:17" ht="12.75">
      <c r="M1235" s="47"/>
      <c r="Q1235" s="47"/>
    </row>
    <row r="1236" spans="13:17" ht="12.75">
      <c r="M1236" s="47"/>
      <c r="Q1236" s="47"/>
    </row>
    <row r="1237" spans="13:17" ht="12.75">
      <c r="M1237" s="47"/>
      <c r="Q1237" s="47"/>
    </row>
    <row r="1238" spans="13:17" ht="12.75">
      <c r="M1238" s="47"/>
      <c r="Q1238" s="47"/>
    </row>
    <row r="1239" spans="13:17" ht="12.75">
      <c r="M1239" s="47"/>
      <c r="Q1239" s="47"/>
    </row>
    <row r="1240" spans="13:17" ht="12.75">
      <c r="M1240" s="47"/>
      <c r="Q1240" s="47"/>
    </row>
    <row r="1241" spans="13:17" ht="12.75">
      <c r="M1241" s="47"/>
      <c r="Q1241" s="47"/>
    </row>
    <row r="1242" spans="13:17" ht="12.75">
      <c r="M1242" s="47"/>
      <c r="Q1242" s="47"/>
    </row>
    <row r="1243" spans="13:17" ht="12.75">
      <c r="M1243" s="47"/>
      <c r="Q1243" s="47"/>
    </row>
    <row r="1244" spans="13:17" ht="12.75">
      <c r="M1244" s="47"/>
      <c r="Q1244" s="47"/>
    </row>
    <row r="1245" spans="13:17" ht="12.75">
      <c r="M1245" s="47"/>
      <c r="Q1245" s="47"/>
    </row>
    <row r="1246" spans="13:17" ht="12.75">
      <c r="M1246" s="47"/>
      <c r="Q1246" s="47"/>
    </row>
    <row r="1247" spans="13:17" ht="12.75">
      <c r="M1247" s="47"/>
      <c r="Q1247" s="47"/>
    </row>
    <row r="1248" spans="13:17" ht="12.75">
      <c r="M1248" s="47"/>
      <c r="Q1248" s="47"/>
    </row>
    <row r="1249" spans="13:17" ht="12.75">
      <c r="M1249" s="47"/>
      <c r="Q1249" s="47"/>
    </row>
    <row r="1250" spans="13:17" ht="12.75">
      <c r="M1250" s="47"/>
      <c r="Q1250" s="47"/>
    </row>
    <row r="1251" spans="13:17" ht="12.75">
      <c r="M1251" s="47"/>
      <c r="Q1251" s="47"/>
    </row>
    <row r="1252" spans="13:17" ht="12.75">
      <c r="M1252" s="47"/>
      <c r="Q1252" s="47"/>
    </row>
    <row r="1253" spans="13:17" ht="12.75">
      <c r="M1253" s="47"/>
      <c r="Q1253" s="47"/>
    </row>
    <row r="1254" spans="13:17" ht="12.75">
      <c r="M1254" s="47"/>
      <c r="Q1254" s="47"/>
    </row>
    <row r="1255" spans="13:17" ht="12.75">
      <c r="M1255" s="47"/>
      <c r="Q1255" s="47"/>
    </row>
    <row r="1256" spans="13:17" ht="12.75">
      <c r="M1256" s="47"/>
      <c r="Q1256" s="47"/>
    </row>
    <row r="1257" spans="13:17" ht="12.75">
      <c r="M1257" s="47"/>
      <c r="Q1257" s="47"/>
    </row>
    <row r="1258" spans="13:17" ht="12.75">
      <c r="M1258" s="47"/>
      <c r="Q1258" s="47"/>
    </row>
    <row r="1259" spans="13:17" ht="12.75">
      <c r="M1259" s="47"/>
      <c r="Q1259" s="47"/>
    </row>
    <row r="1260" spans="13:17" ht="12.75">
      <c r="M1260" s="47"/>
      <c r="Q1260" s="47"/>
    </row>
    <row r="1261" spans="13:17" ht="12.75">
      <c r="M1261" s="47"/>
      <c r="Q1261" s="47"/>
    </row>
    <row r="1262" spans="13:17" ht="12.75">
      <c r="M1262" s="47"/>
      <c r="Q1262" s="47"/>
    </row>
    <row r="1263" spans="13:17" ht="12.75">
      <c r="M1263" s="47"/>
      <c r="Q1263" s="47"/>
    </row>
    <row r="1264" spans="13:17" ht="12.75">
      <c r="M1264" s="47"/>
      <c r="Q1264" s="47"/>
    </row>
    <row r="1265" spans="13:17" ht="12.75">
      <c r="M1265" s="47"/>
      <c r="Q1265" s="47"/>
    </row>
    <row r="1266" spans="13:17" ht="12.75">
      <c r="M1266" s="47"/>
      <c r="Q1266" s="47"/>
    </row>
    <row r="1267" spans="13:17" ht="12.75">
      <c r="M1267" s="47"/>
      <c r="Q1267" s="47"/>
    </row>
    <row r="1268" spans="13:17" ht="12.75">
      <c r="M1268" s="47"/>
      <c r="Q1268" s="47"/>
    </row>
    <row r="1269" spans="13:17" ht="12.75">
      <c r="M1269" s="47"/>
      <c r="Q1269" s="47"/>
    </row>
    <row r="1270" spans="13:17" ht="12.75">
      <c r="M1270" s="47"/>
      <c r="Q1270" s="47"/>
    </row>
    <row r="1271" spans="13:17" ht="12.75">
      <c r="M1271" s="47"/>
      <c r="Q1271" s="47"/>
    </row>
    <row r="1272" spans="13:17" ht="12.75">
      <c r="M1272" s="47"/>
      <c r="Q1272" s="47"/>
    </row>
    <row r="1273" spans="13:17" ht="12.75">
      <c r="M1273" s="47"/>
      <c r="Q1273" s="47"/>
    </row>
    <row r="1274" spans="13:17" ht="12.75">
      <c r="M1274" s="47"/>
      <c r="Q1274" s="47"/>
    </row>
    <row r="1275" spans="13:17" ht="12.75">
      <c r="M1275" s="47"/>
      <c r="Q1275" s="47"/>
    </row>
    <row r="1276" spans="13:17" ht="12.75">
      <c r="M1276" s="47"/>
      <c r="Q1276" s="47"/>
    </row>
    <row r="1277" spans="13:17" ht="12.75">
      <c r="M1277" s="47"/>
      <c r="Q1277" s="47"/>
    </row>
    <row r="1278" spans="13:17" ht="12.75">
      <c r="M1278" s="47"/>
      <c r="Q1278" s="47"/>
    </row>
    <row r="1279" spans="13:17" ht="12.75">
      <c r="M1279" s="47"/>
      <c r="Q1279" s="47"/>
    </row>
    <row r="1280" spans="13:17" ht="12.75">
      <c r="M1280" s="47"/>
      <c r="Q1280" s="47"/>
    </row>
    <row r="1281" spans="13:17" ht="12.75">
      <c r="M1281" s="47"/>
      <c r="Q1281" s="47"/>
    </row>
    <row r="1282" spans="13:17" ht="12.75">
      <c r="M1282" s="47"/>
      <c r="Q1282" s="47"/>
    </row>
    <row r="1283" spans="13:17" ht="12.75">
      <c r="M1283" s="47"/>
      <c r="Q1283" s="47"/>
    </row>
    <row r="1284" spans="13:17" ht="12.75">
      <c r="M1284" s="47"/>
      <c r="Q1284" s="47"/>
    </row>
    <row r="1285" spans="13:17" ht="12.75">
      <c r="M1285" s="47"/>
      <c r="Q1285" s="47"/>
    </row>
    <row r="1286" spans="13:17" ht="12.75">
      <c r="M1286" s="47"/>
      <c r="Q1286" s="47"/>
    </row>
    <row r="1287" spans="13:17" ht="12.75">
      <c r="M1287" s="47"/>
      <c r="Q1287" s="47"/>
    </row>
    <row r="1288" spans="13:17" ht="12.75">
      <c r="M1288" s="47"/>
      <c r="Q1288" s="47"/>
    </row>
    <row r="1289" spans="13:17" ht="12.75">
      <c r="M1289" s="47"/>
      <c r="Q1289" s="47"/>
    </row>
    <row r="1290" spans="13:17" ht="12.75">
      <c r="M1290" s="47"/>
      <c r="Q1290" s="47"/>
    </row>
    <row r="1291" spans="13:17" ht="12.75">
      <c r="M1291" s="47"/>
      <c r="Q1291" s="47"/>
    </row>
    <row r="1292" spans="13:17" ht="12.75">
      <c r="M1292" s="47"/>
      <c r="Q1292" s="47"/>
    </row>
    <row r="1293" spans="13:17" ht="12.75">
      <c r="M1293" s="47"/>
      <c r="Q1293" s="47"/>
    </row>
    <row r="1294" spans="13:17" ht="12.75">
      <c r="M1294" s="47"/>
      <c r="Q1294" s="47"/>
    </row>
    <row r="1295" spans="13:17" ht="12.75">
      <c r="M1295" s="47"/>
      <c r="Q1295" s="47"/>
    </row>
    <row r="1296" spans="13:17" ht="12.75">
      <c r="M1296" s="47"/>
      <c r="Q1296" s="47"/>
    </row>
    <row r="1297" spans="13:17" ht="12.75">
      <c r="M1297" s="47"/>
      <c r="Q1297" s="47"/>
    </row>
    <row r="1298" spans="13:17" ht="12.75">
      <c r="M1298" s="47"/>
      <c r="Q1298" s="47"/>
    </row>
    <row r="1299" spans="13:17" ht="12.75">
      <c r="M1299" s="47"/>
      <c r="Q1299" s="47"/>
    </row>
    <row r="1300" spans="13:17" ht="12.75">
      <c r="M1300" s="47"/>
      <c r="Q1300" s="47"/>
    </row>
    <row r="1301" spans="13:17" ht="12.75">
      <c r="M1301" s="47"/>
      <c r="Q1301" s="47"/>
    </row>
    <row r="1302" spans="13:17" ht="12.75">
      <c r="M1302" s="47"/>
      <c r="Q1302" s="47"/>
    </row>
    <row r="1303" spans="13:17" ht="12.75">
      <c r="M1303" s="47"/>
      <c r="Q1303" s="47"/>
    </row>
    <row r="1304" spans="13:17" ht="12.75">
      <c r="M1304" s="47"/>
      <c r="Q1304" s="47"/>
    </row>
    <row r="1305" spans="13:17" ht="12.75">
      <c r="M1305" s="47"/>
      <c r="Q1305" s="47"/>
    </row>
    <row r="1306" spans="13:17" ht="12.75">
      <c r="M1306" s="47"/>
      <c r="Q1306" s="47"/>
    </row>
    <row r="1307" spans="13:17" ht="12.75">
      <c r="M1307" s="47"/>
      <c r="Q1307" s="47"/>
    </row>
    <row r="1308" spans="13:17" ht="12.75">
      <c r="M1308" s="47"/>
      <c r="Q1308" s="47"/>
    </row>
    <row r="1309" spans="13:17" ht="12.75">
      <c r="M1309" s="47"/>
      <c r="Q1309" s="47"/>
    </row>
    <row r="1310" spans="13:17" ht="12.75">
      <c r="M1310" s="47"/>
      <c r="Q1310" s="47"/>
    </row>
    <row r="1311" spans="13:17" ht="12.75">
      <c r="M1311" s="47"/>
      <c r="Q1311" s="47"/>
    </row>
    <row r="1312" spans="13:17" ht="12.75">
      <c r="M1312" s="47"/>
      <c r="Q1312" s="47"/>
    </row>
    <row r="1313" spans="13:17" ht="12.75">
      <c r="M1313" s="47"/>
      <c r="Q1313" s="47"/>
    </row>
    <row r="1314" spans="13:17" ht="12.75">
      <c r="M1314" s="47"/>
      <c r="Q1314" s="47"/>
    </row>
    <row r="1315" spans="13:17" ht="12.75">
      <c r="M1315" s="47"/>
      <c r="Q1315" s="47"/>
    </row>
    <row r="1316" spans="13:17" ht="12.75">
      <c r="M1316" s="47"/>
      <c r="Q1316" s="47"/>
    </row>
    <row r="1317" spans="13:17" ht="12.75">
      <c r="M1317" s="47"/>
      <c r="Q1317" s="47"/>
    </row>
    <row r="1318" spans="13:17" ht="12.75">
      <c r="M1318" s="47"/>
      <c r="Q1318" s="47"/>
    </row>
    <row r="1319" spans="13:17" ht="12.75">
      <c r="M1319" s="47"/>
      <c r="Q1319" s="47"/>
    </row>
    <row r="1320" spans="13:17" ht="12.75">
      <c r="M1320" s="47"/>
      <c r="Q1320" s="47"/>
    </row>
    <row r="1321" spans="13:17" ht="12.75">
      <c r="M1321" s="47"/>
      <c r="Q1321" s="47"/>
    </row>
    <row r="1322" spans="13:17" ht="12.75">
      <c r="M1322" s="47"/>
      <c r="Q1322" s="47"/>
    </row>
    <row r="1323" spans="13:17" ht="12.75">
      <c r="M1323" s="47"/>
      <c r="Q1323" s="47"/>
    </row>
    <row r="1324" spans="13:17" ht="12.75">
      <c r="M1324" s="47"/>
      <c r="Q1324" s="47"/>
    </row>
    <row r="1325" spans="13:17" ht="12.75">
      <c r="M1325" s="47"/>
      <c r="Q1325" s="47"/>
    </row>
    <row r="1326" spans="13:17" ht="12.75">
      <c r="M1326" s="47"/>
      <c r="Q1326" s="47"/>
    </row>
    <row r="1327" spans="13:17" ht="12.75">
      <c r="M1327" s="47"/>
      <c r="Q1327" s="47"/>
    </row>
    <row r="1328" spans="13:17" ht="12.75">
      <c r="M1328" s="47"/>
      <c r="Q1328" s="47"/>
    </row>
    <row r="1329" spans="13:17" ht="12.75">
      <c r="M1329" s="47"/>
      <c r="Q1329" s="47"/>
    </row>
    <row r="1330" spans="13:17" ht="12.75">
      <c r="M1330" s="47"/>
      <c r="Q1330" s="47"/>
    </row>
    <row r="1331" spans="13:17" ht="12.75">
      <c r="M1331" s="47"/>
      <c r="Q1331" s="47"/>
    </row>
    <row r="1332" spans="13:17" ht="12.75">
      <c r="M1332" s="47"/>
      <c r="Q1332" s="47"/>
    </row>
    <row r="1333" spans="13:17" ht="12.75">
      <c r="M1333" s="47"/>
      <c r="Q1333" s="47"/>
    </row>
    <row r="1334" spans="13:17" ht="12.75">
      <c r="M1334" s="47"/>
      <c r="Q1334" s="47"/>
    </row>
    <row r="1335" spans="13:17" ht="12.75">
      <c r="M1335" s="47"/>
      <c r="Q1335" s="47"/>
    </row>
    <row r="1336" spans="13:17" ht="12.75">
      <c r="M1336" s="47"/>
      <c r="Q1336" s="47"/>
    </row>
    <row r="1337" spans="13:17" ht="12.75">
      <c r="M1337" s="47"/>
      <c r="Q1337" s="47"/>
    </row>
    <row r="1338" spans="13:17" ht="12.75">
      <c r="M1338" s="47"/>
      <c r="Q1338" s="47"/>
    </row>
    <row r="1339" spans="13:17" ht="12.75">
      <c r="M1339" s="47"/>
      <c r="Q1339" s="47"/>
    </row>
    <row r="1340" spans="13:17" ht="12.75">
      <c r="M1340" s="47"/>
      <c r="Q1340" s="47"/>
    </row>
    <row r="1341" spans="13:17" ht="12.75">
      <c r="M1341" s="47"/>
      <c r="Q1341" s="47"/>
    </row>
    <row r="1342" spans="13:17" ht="12.75">
      <c r="M1342" s="47"/>
      <c r="Q1342" s="47"/>
    </row>
    <row r="1343" spans="13:17" ht="12.75">
      <c r="M1343" s="47"/>
      <c r="Q1343" s="47"/>
    </row>
    <row r="1344" spans="13:17" ht="12.75">
      <c r="M1344" s="47"/>
      <c r="Q1344" s="47"/>
    </row>
    <row r="1345" spans="13:17" ht="12.75">
      <c r="M1345" s="47"/>
      <c r="Q1345" s="47"/>
    </row>
    <row r="1346" spans="13:17" ht="12.75">
      <c r="M1346" s="47"/>
      <c r="Q1346" s="47"/>
    </row>
    <row r="1347" spans="13:17" ht="12.75">
      <c r="M1347" s="47"/>
      <c r="Q1347" s="47"/>
    </row>
    <row r="1348" spans="13:17" ht="12.75">
      <c r="M1348" s="47"/>
      <c r="Q1348" s="47"/>
    </row>
    <row r="1349" spans="13:17" ht="12.75">
      <c r="M1349" s="47"/>
      <c r="Q1349" s="47"/>
    </row>
    <row r="1350" spans="13:17" ht="12.75">
      <c r="M1350" s="47"/>
      <c r="Q1350" s="47"/>
    </row>
    <row r="1351" spans="13:17" ht="12.75">
      <c r="M1351" s="47"/>
      <c r="Q1351" s="47"/>
    </row>
    <row r="1352" spans="13:17" ht="12.75">
      <c r="M1352" s="47"/>
      <c r="Q1352" s="47"/>
    </row>
    <row r="1353" spans="13:17" ht="12.75">
      <c r="M1353" s="47"/>
      <c r="Q1353" s="47"/>
    </row>
    <row r="1354" spans="13:17" ht="12.75">
      <c r="M1354" s="47"/>
      <c r="Q1354" s="47"/>
    </row>
    <row r="1355" spans="13:17" ht="12.75">
      <c r="M1355" s="47"/>
      <c r="Q1355" s="47"/>
    </row>
    <row r="1356" spans="13:17" ht="12.75">
      <c r="M1356" s="47"/>
      <c r="Q1356" s="47"/>
    </row>
    <row r="1357" spans="13:17" ht="12.75">
      <c r="M1357" s="47"/>
      <c r="Q1357" s="47"/>
    </row>
    <row r="1358" spans="13:17" ht="12.75">
      <c r="M1358" s="47"/>
      <c r="Q1358" s="47"/>
    </row>
    <row r="1359" spans="13:17" ht="12.75">
      <c r="M1359" s="47"/>
      <c r="Q1359" s="47"/>
    </row>
    <row r="1360" spans="13:17" ht="12.75">
      <c r="M1360" s="47"/>
      <c r="Q1360" s="47"/>
    </row>
    <row r="1361" spans="13:17" ht="12.75">
      <c r="M1361" s="47"/>
      <c r="Q1361" s="47"/>
    </row>
    <row r="1362" spans="13:17" ht="12.75">
      <c r="M1362" s="47"/>
      <c r="Q1362" s="47"/>
    </row>
    <row r="1363" spans="13:17" ht="12.75">
      <c r="M1363" s="47"/>
      <c r="Q1363" s="47"/>
    </row>
    <row r="1364" spans="13:17" ht="12.75">
      <c r="M1364" s="47"/>
      <c r="Q1364" s="47"/>
    </row>
    <row r="1365" spans="13:17" ht="12.75">
      <c r="M1365" s="47"/>
      <c r="Q1365" s="47"/>
    </row>
    <row r="1366" spans="13:17" ht="12.75">
      <c r="M1366" s="47"/>
      <c r="Q1366" s="47"/>
    </row>
    <row r="1367" spans="13:17" ht="12.75">
      <c r="M1367" s="47"/>
      <c r="Q1367" s="47"/>
    </row>
    <row r="1368" spans="13:17" ht="12.75">
      <c r="M1368" s="47"/>
      <c r="Q1368" s="47"/>
    </row>
    <row r="1369" spans="13:17" ht="12.75">
      <c r="M1369" s="47"/>
      <c r="Q1369" s="47"/>
    </row>
    <row r="1370" spans="13:17" ht="12.75">
      <c r="M1370" s="47"/>
      <c r="Q1370" s="47"/>
    </row>
    <row r="1371" spans="13:17" ht="12.75">
      <c r="M1371" s="47"/>
      <c r="Q1371" s="47"/>
    </row>
    <row r="1372" spans="13:17" ht="12.75">
      <c r="M1372" s="47"/>
      <c r="Q1372" s="47"/>
    </row>
    <row r="1373" spans="13:17" ht="12.75">
      <c r="M1373" s="47"/>
      <c r="Q1373" s="47"/>
    </row>
    <row r="1374" spans="13:17" ht="12.75">
      <c r="M1374" s="47"/>
      <c r="Q1374" s="47"/>
    </row>
    <row r="1375" spans="13:17" ht="12.75">
      <c r="M1375" s="47"/>
      <c r="Q1375" s="47"/>
    </row>
    <row r="1376" spans="13:17" ht="12.75">
      <c r="M1376" s="47"/>
      <c r="Q1376" s="47"/>
    </row>
    <row r="1377" spans="13:17" ht="12.75">
      <c r="M1377" s="47"/>
      <c r="Q1377" s="47"/>
    </row>
    <row r="1378" spans="13:17" ht="12.75">
      <c r="M1378" s="47"/>
      <c r="Q1378" s="47"/>
    </row>
    <row r="1379" spans="13:17" ht="12.75">
      <c r="M1379" s="47"/>
      <c r="Q1379" s="47"/>
    </row>
    <row r="1380" spans="13:17" ht="12.75">
      <c r="M1380" s="47"/>
      <c r="Q1380" s="47"/>
    </row>
    <row r="1381" spans="13:17" ht="12.75">
      <c r="M1381" s="47"/>
      <c r="Q1381" s="47"/>
    </row>
    <row r="1382" spans="13:17" ht="12.75">
      <c r="M1382" s="47"/>
      <c r="Q1382" s="47"/>
    </row>
    <row r="1383" spans="13:17" ht="12.75">
      <c r="M1383" s="47"/>
      <c r="Q1383" s="47"/>
    </row>
    <row r="1384" spans="13:17" ht="12.75">
      <c r="M1384" s="47"/>
      <c r="Q1384" s="47"/>
    </row>
    <row r="1385" spans="13:17" ht="12.75">
      <c r="M1385" s="47"/>
      <c r="Q1385" s="47"/>
    </row>
    <row r="1386" spans="13:17" ht="12.75">
      <c r="M1386" s="47"/>
      <c r="Q1386" s="47"/>
    </row>
    <row r="1387" spans="13:17" ht="12.75">
      <c r="M1387" s="47"/>
      <c r="Q1387" s="47"/>
    </row>
    <row r="1388" spans="13:17" ht="12.75">
      <c r="M1388" s="47"/>
      <c r="Q1388" s="47"/>
    </row>
    <row r="1389" spans="13:17" ht="12.75">
      <c r="M1389" s="47"/>
      <c r="Q1389" s="47"/>
    </row>
    <row r="1390" spans="13:17" ht="12.75">
      <c r="M1390" s="47"/>
      <c r="Q1390" s="47"/>
    </row>
    <row r="1391" spans="13:17" ht="12.75">
      <c r="M1391" s="47"/>
      <c r="Q1391" s="47"/>
    </row>
    <row r="1392" spans="13:17" ht="12.75">
      <c r="M1392" s="47"/>
      <c r="Q1392" s="47"/>
    </row>
    <row r="1393" spans="13:17" ht="12.75">
      <c r="M1393" s="47"/>
      <c r="Q1393" s="47"/>
    </row>
    <row r="1394" spans="13:17" ht="12.75">
      <c r="M1394" s="47"/>
      <c r="Q1394" s="47"/>
    </row>
    <row r="1395" spans="13:17" ht="12.75">
      <c r="M1395" s="47"/>
      <c r="Q1395" s="47"/>
    </row>
    <row r="1396" spans="13:17" ht="12.75">
      <c r="M1396" s="47"/>
      <c r="Q1396" s="47"/>
    </row>
    <row r="1397" spans="13:17" ht="12.75">
      <c r="M1397" s="47"/>
      <c r="Q1397" s="47"/>
    </row>
    <row r="1398" spans="13:17" ht="12.75">
      <c r="M1398" s="47"/>
      <c r="Q1398" s="47"/>
    </row>
    <row r="1399" spans="13:17" ht="12.75">
      <c r="M1399" s="47"/>
      <c r="Q1399" s="47"/>
    </row>
    <row r="1400" spans="13:17" ht="12.75">
      <c r="M1400" s="47"/>
      <c r="Q1400" s="47"/>
    </row>
    <row r="1401" spans="13:17" ht="12.75">
      <c r="M1401" s="47"/>
      <c r="Q1401" s="47"/>
    </row>
    <row r="1402" spans="13:17" ht="12.75">
      <c r="M1402" s="47"/>
      <c r="Q1402" s="47"/>
    </row>
    <row r="1403" spans="13:17" ht="12.75">
      <c r="M1403" s="47"/>
      <c r="Q1403" s="47"/>
    </row>
    <row r="1404" spans="13:17" ht="12.75">
      <c r="M1404" s="47"/>
      <c r="Q1404" s="47"/>
    </row>
    <row r="1405" spans="13:17" ht="12.75">
      <c r="M1405" s="47"/>
      <c r="Q1405" s="47"/>
    </row>
    <row r="1406" spans="13:17" ht="12.75">
      <c r="M1406" s="47"/>
      <c r="Q1406" s="47"/>
    </row>
    <row r="1407" spans="13:17" ht="12.75">
      <c r="M1407" s="47"/>
      <c r="Q1407" s="47"/>
    </row>
    <row r="1408" spans="13:17" ht="12.75">
      <c r="M1408" s="47"/>
      <c r="Q1408" s="47"/>
    </row>
    <row r="1409" spans="13:17" ht="12.75">
      <c r="M1409" s="47"/>
      <c r="Q1409" s="47"/>
    </row>
    <row r="1410" spans="13:17" ht="12.75">
      <c r="M1410" s="47"/>
      <c r="Q1410" s="47"/>
    </row>
    <row r="1411" spans="13:17" ht="12.75">
      <c r="M1411" s="47"/>
      <c r="Q1411" s="47"/>
    </row>
    <row r="1412" spans="13:17" ht="12.75">
      <c r="M1412" s="47"/>
      <c r="Q1412" s="47"/>
    </row>
    <row r="1413" spans="13:17" ht="12.75">
      <c r="M1413" s="47"/>
      <c r="Q1413" s="47"/>
    </row>
    <row r="1414" spans="13:17" ht="12.75">
      <c r="M1414" s="47"/>
      <c r="Q1414" s="47"/>
    </row>
    <row r="1415" spans="13:17" ht="12.75">
      <c r="M1415" s="47"/>
      <c r="Q1415" s="47"/>
    </row>
    <row r="1416" spans="13:17" ht="12.75">
      <c r="M1416" s="47"/>
      <c r="Q1416" s="47"/>
    </row>
    <row r="1417" spans="13:17" ht="12.75">
      <c r="M1417" s="47"/>
      <c r="Q1417" s="47"/>
    </row>
    <row r="1418" spans="13:17" ht="12.75">
      <c r="M1418" s="47"/>
      <c r="Q1418" s="47"/>
    </row>
    <row r="1419" spans="13:17" ht="12.75">
      <c r="M1419" s="47"/>
      <c r="Q1419" s="47"/>
    </row>
    <row r="1420" spans="13:17" ht="12.75">
      <c r="M1420" s="47"/>
      <c r="Q1420" s="47"/>
    </row>
    <row r="1421" spans="13:17" ht="12.75">
      <c r="M1421" s="47"/>
      <c r="Q1421" s="47"/>
    </row>
    <row r="1422" spans="13:17" ht="12.75">
      <c r="M1422" s="47"/>
      <c r="Q1422" s="47"/>
    </row>
    <row r="1423" spans="13:17" ht="12.75">
      <c r="M1423" s="47"/>
      <c r="Q1423" s="47"/>
    </row>
    <row r="1424" spans="13:17" ht="12.75">
      <c r="M1424" s="47"/>
      <c r="Q1424" s="47"/>
    </row>
    <row r="1425" spans="13:17" ht="12.75">
      <c r="M1425" s="47"/>
      <c r="Q1425" s="47"/>
    </row>
    <row r="1426" spans="13:17" ht="12.75">
      <c r="M1426" s="47"/>
      <c r="Q1426" s="47"/>
    </row>
    <row r="1427" spans="13:17" ht="12.75">
      <c r="M1427" s="47"/>
      <c r="Q1427" s="47"/>
    </row>
    <row r="1428" spans="13:17" ht="12.75">
      <c r="M1428" s="47"/>
      <c r="Q1428" s="47"/>
    </row>
    <row r="1429" spans="13:17" ht="12.75">
      <c r="M1429" s="47"/>
      <c r="Q1429" s="47"/>
    </row>
    <row r="1430" spans="13:17" ht="12.75">
      <c r="M1430" s="47"/>
      <c r="Q1430" s="47"/>
    </row>
    <row r="1431" spans="13:17" ht="12.75">
      <c r="M1431" s="47"/>
      <c r="Q1431" s="47"/>
    </row>
    <row r="1432" spans="13:17" ht="12.75">
      <c r="M1432" s="47"/>
      <c r="Q1432" s="47"/>
    </row>
    <row r="1433" spans="13:17" ht="12.75">
      <c r="M1433" s="47"/>
      <c r="Q1433" s="47"/>
    </row>
    <row r="1434" spans="13:17" ht="12.75">
      <c r="M1434" s="47"/>
      <c r="Q1434" s="47"/>
    </row>
    <row r="1435" spans="13:17" ht="12.75">
      <c r="M1435" s="47"/>
      <c r="Q1435" s="47"/>
    </row>
    <row r="1436" spans="13:17" ht="12.75">
      <c r="M1436" s="47"/>
      <c r="Q1436" s="47"/>
    </row>
    <row r="1437" spans="13:17" ht="12.75">
      <c r="M1437" s="47"/>
      <c r="Q1437" s="47"/>
    </row>
    <row r="1438" spans="13:17" ht="12.75">
      <c r="M1438" s="47"/>
      <c r="Q1438" s="47"/>
    </row>
    <row r="1439" spans="13:17" ht="12.75">
      <c r="M1439" s="47"/>
      <c r="Q1439" s="47"/>
    </row>
    <row r="1440" spans="13:17" ht="12.75">
      <c r="M1440" s="47"/>
      <c r="Q1440" s="47"/>
    </row>
    <row r="1441" spans="13:17" ht="12.75">
      <c r="M1441" s="47"/>
      <c r="Q1441" s="47"/>
    </row>
    <row r="1442" spans="13:17" ht="12.75">
      <c r="M1442" s="47"/>
      <c r="Q1442" s="47"/>
    </row>
    <row r="1443" spans="13:17" ht="12.75">
      <c r="M1443" s="47"/>
      <c r="Q1443" s="47"/>
    </row>
    <row r="1444" spans="13:17" ht="12.75">
      <c r="M1444" s="47"/>
      <c r="Q1444" s="47"/>
    </row>
    <row r="1445" spans="13:17" ht="12.75">
      <c r="M1445" s="47"/>
      <c r="Q1445" s="47"/>
    </row>
    <row r="1446" spans="13:17" ht="12.75">
      <c r="M1446" s="47"/>
      <c r="Q1446" s="47"/>
    </row>
    <row r="1447" spans="13:17" ht="12.75">
      <c r="M1447" s="47"/>
      <c r="Q1447" s="47"/>
    </row>
    <row r="1448" spans="13:17" ht="12.75">
      <c r="M1448" s="47"/>
      <c r="Q1448" s="47"/>
    </row>
    <row r="1449" spans="13:17" ht="12.75">
      <c r="M1449" s="47"/>
      <c r="Q1449" s="47"/>
    </row>
    <row r="1450" spans="13:17" ht="12.75">
      <c r="M1450" s="47"/>
      <c r="Q1450" s="47"/>
    </row>
    <row r="1451" spans="13:17" ht="12.75">
      <c r="M1451" s="47"/>
      <c r="Q1451" s="47"/>
    </row>
    <row r="1452" spans="13:17" ht="12.75">
      <c r="M1452" s="47"/>
      <c r="Q1452" s="47"/>
    </row>
    <row r="1453" spans="13:17" ht="12.75">
      <c r="M1453" s="47"/>
      <c r="Q1453" s="47"/>
    </row>
    <row r="1454" spans="13:17" ht="12.75">
      <c r="M1454" s="47"/>
      <c r="Q1454" s="47"/>
    </row>
    <row r="1455" spans="13:17" ht="12.75">
      <c r="M1455" s="47"/>
      <c r="Q1455" s="47"/>
    </row>
    <row r="1456" spans="13:17" ht="12.75">
      <c r="M1456" s="47"/>
      <c r="Q1456" s="47"/>
    </row>
    <row r="1457" spans="13:17" ht="12.75">
      <c r="M1457" s="47"/>
      <c r="Q1457" s="47"/>
    </row>
    <row r="1458" spans="13:17" ht="12.75">
      <c r="M1458" s="47"/>
      <c r="Q1458" s="47"/>
    </row>
    <row r="1459" spans="13:17" ht="12.75">
      <c r="M1459" s="47"/>
      <c r="Q1459" s="47"/>
    </row>
    <row r="1460" spans="13:17" ht="12.75">
      <c r="M1460" s="47"/>
      <c r="Q1460" s="47"/>
    </row>
    <row r="1461" spans="13:17" ht="12.75">
      <c r="M1461" s="47"/>
      <c r="Q1461" s="47"/>
    </row>
    <row r="1462" spans="13:17" ht="12.75">
      <c r="M1462" s="47"/>
      <c r="Q1462" s="47"/>
    </row>
    <row r="1463" spans="13:17" ht="12.75">
      <c r="M1463" s="47"/>
      <c r="Q1463" s="47"/>
    </row>
    <row r="1464" spans="13:17" ht="12.75">
      <c r="M1464" s="47"/>
      <c r="Q1464" s="47"/>
    </row>
    <row r="1465" spans="13:17" ht="12.75">
      <c r="M1465" s="47"/>
      <c r="Q1465" s="47"/>
    </row>
    <row r="1466" spans="13:17" ht="12.75">
      <c r="M1466" s="47"/>
      <c r="Q1466" s="47"/>
    </row>
    <row r="1467" spans="13:17" ht="12.75">
      <c r="M1467" s="47"/>
      <c r="Q1467" s="47"/>
    </row>
    <row r="1468" spans="13:17" ht="12.75">
      <c r="M1468" s="47"/>
      <c r="Q1468" s="47"/>
    </row>
    <row r="1469" spans="13:17" ht="12.75">
      <c r="M1469" s="47"/>
      <c r="Q1469" s="47"/>
    </row>
    <row r="1470" spans="13:17" ht="12.75">
      <c r="M1470" s="47"/>
      <c r="Q1470" s="47"/>
    </row>
    <row r="1471" spans="13:17" ht="12.75">
      <c r="M1471" s="47"/>
      <c r="Q1471" s="47"/>
    </row>
    <row r="1472" spans="13:17" ht="12.75">
      <c r="M1472" s="47"/>
      <c r="Q1472" s="47"/>
    </row>
    <row r="1473" spans="13:17" ht="12.75">
      <c r="M1473" s="47"/>
      <c r="Q1473" s="47"/>
    </row>
    <row r="1474" spans="13:17" ht="12.75">
      <c r="M1474" s="47"/>
      <c r="Q1474" s="47"/>
    </row>
    <row r="1475" spans="13:17" ht="12.75">
      <c r="M1475" s="47"/>
      <c r="Q1475" s="47"/>
    </row>
    <row r="1476" spans="13:17" ht="12.75">
      <c r="M1476" s="47"/>
      <c r="Q1476" s="47"/>
    </row>
    <row r="1477" spans="13:17" ht="12.75">
      <c r="M1477" s="47"/>
      <c r="Q1477" s="47"/>
    </row>
    <row r="1478" spans="13:17" ht="12.75">
      <c r="M1478" s="47"/>
      <c r="Q1478" s="47"/>
    </row>
    <row r="1479" spans="13:17" ht="12.75">
      <c r="M1479" s="47"/>
      <c r="Q1479" s="47"/>
    </row>
    <row r="1480" spans="13:17" ht="12.75">
      <c r="M1480" s="47"/>
      <c r="Q1480" s="47"/>
    </row>
    <row r="1481" spans="13:17" ht="12.75">
      <c r="M1481" s="47"/>
      <c r="Q1481" s="47"/>
    </row>
    <row r="1482" spans="13:17" ht="12.75">
      <c r="M1482" s="47"/>
      <c r="Q1482" s="47"/>
    </row>
    <row r="1483" spans="13:17" ht="12.75">
      <c r="M1483" s="47"/>
      <c r="Q1483" s="47"/>
    </row>
    <row r="1484" spans="13:17" ht="12.75">
      <c r="M1484" s="47"/>
      <c r="Q1484" s="47"/>
    </row>
    <row r="1485" spans="13:17" ht="12.75">
      <c r="M1485" s="47"/>
      <c r="Q1485" s="47"/>
    </row>
    <row r="1486" spans="13:17" ht="12.75">
      <c r="M1486" s="47"/>
      <c r="Q1486" s="47"/>
    </row>
    <row r="1487" spans="13:17" ht="12.75">
      <c r="M1487" s="47"/>
      <c r="Q1487" s="47"/>
    </row>
    <row r="1488" spans="13:17" ht="12.75">
      <c r="M1488" s="47"/>
      <c r="Q1488" s="47"/>
    </row>
    <row r="1489" spans="13:17" ht="12.75">
      <c r="M1489" s="47"/>
      <c r="Q1489" s="47"/>
    </row>
    <row r="1490" spans="13:17" ht="12.75">
      <c r="M1490" s="47"/>
      <c r="Q1490" s="47"/>
    </row>
    <row r="1491" spans="13:17" ht="12.75">
      <c r="M1491" s="47"/>
      <c r="Q1491" s="47"/>
    </row>
    <row r="1492" spans="13:17" ht="12.75">
      <c r="M1492" s="47"/>
      <c r="Q1492" s="47"/>
    </row>
    <row r="1493" spans="13:17" ht="12.75">
      <c r="M1493" s="47"/>
      <c r="Q1493" s="47"/>
    </row>
    <row r="1494" spans="13:17" ht="12.75">
      <c r="M1494" s="47"/>
      <c r="Q1494" s="47"/>
    </row>
    <row r="1495" spans="13:17" ht="12.75">
      <c r="M1495" s="47"/>
      <c r="Q1495" s="47"/>
    </row>
    <row r="1496" spans="13:17" ht="12.75">
      <c r="M1496" s="47"/>
      <c r="Q1496" s="47"/>
    </row>
    <row r="1497" spans="13:17" ht="12.75">
      <c r="M1497" s="47"/>
      <c r="Q1497" s="47"/>
    </row>
    <row r="1498" spans="13:17" ht="12.75">
      <c r="M1498" s="47"/>
      <c r="Q1498" s="47"/>
    </row>
    <row r="1499" spans="13:17" ht="12.75">
      <c r="M1499" s="47"/>
      <c r="Q1499" s="47"/>
    </row>
    <row r="1500" spans="13:17" ht="12.75">
      <c r="M1500" s="47"/>
      <c r="Q1500" s="47"/>
    </row>
    <row r="1501" spans="13:17" ht="12.75">
      <c r="M1501" s="47"/>
      <c r="Q1501" s="47"/>
    </row>
    <row r="1502" spans="13:17" ht="12.75">
      <c r="M1502" s="47"/>
      <c r="Q1502" s="47"/>
    </row>
    <row r="1503" spans="13:17" ht="12.75">
      <c r="M1503" s="47"/>
      <c r="Q1503" s="47"/>
    </row>
    <row r="1504" spans="13:17" ht="12.75">
      <c r="M1504" s="47"/>
      <c r="Q1504" s="47"/>
    </row>
    <row r="1505" spans="13:17" ht="12.75">
      <c r="M1505" s="47"/>
      <c r="Q1505" s="47"/>
    </row>
    <row r="1506" spans="13:17" ht="12.75">
      <c r="M1506" s="47"/>
      <c r="Q1506" s="47"/>
    </row>
    <row r="1507" spans="13:17" ht="12.75">
      <c r="M1507" s="47"/>
      <c r="Q1507" s="47"/>
    </row>
    <row r="1508" spans="13:17" ht="12.75">
      <c r="M1508" s="47"/>
      <c r="Q1508" s="47"/>
    </row>
    <row r="1509" spans="13:17" ht="12.75">
      <c r="M1509" s="47"/>
      <c r="Q1509" s="47"/>
    </row>
    <row r="1510" spans="13:17" ht="12.75">
      <c r="M1510" s="47"/>
      <c r="Q1510" s="47"/>
    </row>
    <row r="1511" spans="13:17" ht="12.75">
      <c r="M1511" s="47"/>
      <c r="Q1511" s="47"/>
    </row>
    <row r="1512" spans="13:17" ht="12.75">
      <c r="M1512" s="47"/>
      <c r="Q1512" s="47"/>
    </row>
    <row r="1513" spans="13:17" ht="12.75">
      <c r="M1513" s="47"/>
      <c r="Q1513" s="47"/>
    </row>
    <row r="1514" spans="13:17" ht="12.75">
      <c r="M1514" s="47"/>
      <c r="Q1514" s="47"/>
    </row>
    <row r="1515" spans="13:17" ht="12.75">
      <c r="M1515" s="47"/>
      <c r="Q1515" s="47"/>
    </row>
    <row r="1516" spans="13:17" ht="12.75">
      <c r="M1516" s="47"/>
      <c r="Q1516" s="47"/>
    </row>
    <row r="1517" spans="13:17" ht="12.75">
      <c r="M1517" s="47"/>
      <c r="Q1517" s="47"/>
    </row>
    <row r="1518" spans="13:17" ht="12.75">
      <c r="M1518" s="47"/>
      <c r="Q1518" s="47"/>
    </row>
    <row r="1519" spans="13:17" ht="12.75">
      <c r="M1519" s="47"/>
      <c r="Q1519" s="47"/>
    </row>
    <row r="1520" spans="13:17" ht="12.75">
      <c r="M1520" s="47"/>
      <c r="Q1520" s="47"/>
    </row>
    <row r="1521" spans="13:17" ht="12.75">
      <c r="M1521" s="47"/>
      <c r="Q1521" s="47"/>
    </row>
    <row r="1522" spans="13:17" ht="12.75">
      <c r="M1522" s="47"/>
      <c r="Q1522" s="47"/>
    </row>
    <row r="1523" spans="13:17" ht="12.75">
      <c r="M1523" s="47"/>
      <c r="Q1523" s="47"/>
    </row>
    <row r="1524" spans="13:17" ht="12.75">
      <c r="M1524" s="47"/>
      <c r="Q1524" s="47"/>
    </row>
    <row r="1525" spans="13:17" ht="12.75">
      <c r="M1525" s="47"/>
      <c r="Q1525" s="47"/>
    </row>
    <row r="1526" spans="13:17" ht="12.75">
      <c r="M1526" s="47"/>
      <c r="Q1526" s="47"/>
    </row>
    <row r="1527" spans="13:17" ht="12.75">
      <c r="M1527" s="47"/>
      <c r="Q1527" s="47"/>
    </row>
    <row r="1528" spans="13:17" ht="12.75">
      <c r="M1528" s="47"/>
      <c r="Q1528" s="47"/>
    </row>
    <row r="1529" spans="13:17" ht="12.75">
      <c r="M1529" s="47"/>
      <c r="Q1529" s="47"/>
    </row>
    <row r="1530" spans="13:17" ht="12.75">
      <c r="M1530" s="47"/>
      <c r="Q1530" s="47"/>
    </row>
    <row r="1531" spans="13:17" ht="12.75">
      <c r="M1531" s="47"/>
      <c r="Q1531" s="47"/>
    </row>
    <row r="1532" spans="13:17" ht="12.75">
      <c r="M1532" s="47"/>
      <c r="Q1532" s="47"/>
    </row>
    <row r="1533" spans="13:17" ht="12.75">
      <c r="M1533" s="47"/>
      <c r="Q1533" s="47"/>
    </row>
    <row r="1534" spans="13:17" ht="12.75">
      <c r="M1534" s="47"/>
      <c r="Q1534" s="47"/>
    </row>
    <row r="1535" spans="13:17" ht="12.75">
      <c r="M1535" s="47"/>
      <c r="Q1535" s="47"/>
    </row>
    <row r="1536" spans="13:17" ht="12.75">
      <c r="M1536" s="47"/>
      <c r="Q1536" s="47"/>
    </row>
    <row r="1537" spans="13:17" ht="12.75">
      <c r="M1537" s="47"/>
      <c r="Q1537" s="47"/>
    </row>
    <row r="1538" spans="13:17" ht="12.75">
      <c r="M1538" s="47"/>
      <c r="Q1538" s="47"/>
    </row>
    <row r="1539" spans="13:17" ht="12.75">
      <c r="M1539" s="47"/>
      <c r="Q1539" s="47"/>
    </row>
    <row r="1540" spans="13:17" ht="12.75">
      <c r="M1540" s="47"/>
      <c r="Q1540" s="47"/>
    </row>
    <row r="1541" spans="13:17" ht="12.75">
      <c r="M1541" s="47"/>
      <c r="Q1541" s="47"/>
    </row>
    <row r="1542" spans="13:17" ht="12.75">
      <c r="M1542" s="47"/>
      <c r="Q1542" s="47"/>
    </row>
    <row r="1543" spans="13:17" ht="12.75">
      <c r="M1543" s="47"/>
      <c r="Q1543" s="47"/>
    </row>
    <row r="1544" spans="13:17" ht="12.75">
      <c r="M1544" s="47"/>
      <c r="Q1544" s="47"/>
    </row>
    <row r="1545" spans="13:17" ht="12.75">
      <c r="M1545" s="47"/>
      <c r="Q1545" s="47"/>
    </row>
    <row r="1546" spans="13:17" ht="12.75">
      <c r="M1546" s="47"/>
      <c r="Q1546" s="47"/>
    </row>
    <row r="1547" spans="13:17" ht="12.75">
      <c r="M1547" s="47"/>
      <c r="Q1547" s="47"/>
    </row>
    <row r="1548" spans="13:17" ht="12.75">
      <c r="M1548" s="47"/>
      <c r="Q1548" s="47"/>
    </row>
    <row r="1549" spans="13:17" ht="12.75">
      <c r="M1549" s="47"/>
      <c r="Q1549" s="47"/>
    </row>
    <row r="1550" spans="13:17" ht="12.75">
      <c r="M1550" s="47"/>
      <c r="Q1550" s="47"/>
    </row>
    <row r="1551" spans="13:17" ht="12.75">
      <c r="M1551" s="47"/>
      <c r="Q1551" s="47"/>
    </row>
    <row r="1552" spans="13:17" ht="12.75">
      <c r="M1552" s="47"/>
      <c r="Q1552" s="47"/>
    </row>
    <row r="1553" spans="13:17" ht="12.75">
      <c r="M1553" s="47"/>
      <c r="Q1553" s="47"/>
    </row>
    <row r="1554" spans="13:17" ht="12.75">
      <c r="M1554" s="47"/>
      <c r="Q1554" s="47"/>
    </row>
    <row r="1555" spans="13:17" ht="12.75">
      <c r="M1555" s="47"/>
      <c r="Q1555" s="47"/>
    </row>
    <row r="1556" spans="13:17" ht="12.75">
      <c r="M1556" s="47"/>
      <c r="Q1556" s="47"/>
    </row>
    <row r="1557" spans="13:17" ht="12.75">
      <c r="M1557" s="47"/>
      <c r="Q1557" s="47"/>
    </row>
    <row r="1558" spans="13:17" ht="12.75">
      <c r="M1558" s="47"/>
      <c r="Q1558" s="47"/>
    </row>
    <row r="1559" spans="13:17" ht="12.75">
      <c r="M1559" s="47"/>
      <c r="Q1559" s="47"/>
    </row>
    <row r="1560" spans="13:17" ht="12.75">
      <c r="M1560" s="47"/>
      <c r="Q1560" s="47"/>
    </row>
    <row r="1561" spans="13:17" ht="12.75">
      <c r="M1561" s="47"/>
      <c r="Q1561" s="47"/>
    </row>
    <row r="1562" spans="13:17" ht="12.75">
      <c r="M1562" s="47"/>
      <c r="Q1562" s="47"/>
    </row>
    <row r="1563" spans="13:17" ht="12.75">
      <c r="M1563" s="47"/>
      <c r="Q1563" s="47"/>
    </row>
    <row r="1564" spans="13:17" ht="12.75">
      <c r="M1564" s="47"/>
      <c r="Q1564" s="47"/>
    </row>
    <row r="1565" spans="13:17" ht="12.75">
      <c r="M1565" s="47"/>
      <c r="Q1565" s="47"/>
    </row>
    <row r="1566" spans="13:17" ht="12.75">
      <c r="M1566" s="47"/>
      <c r="Q1566" s="47"/>
    </row>
    <row r="1567" spans="13:17" ht="12.75">
      <c r="M1567" s="47"/>
      <c r="Q1567" s="47"/>
    </row>
    <row r="1568" spans="13:17" ht="12.75">
      <c r="M1568" s="47"/>
      <c r="Q1568" s="47"/>
    </row>
    <row r="1569" spans="13:17" ht="12.75">
      <c r="M1569" s="47"/>
      <c r="Q1569" s="47"/>
    </row>
    <row r="1570" spans="13:17" ht="12.75">
      <c r="M1570" s="47"/>
      <c r="Q1570" s="47"/>
    </row>
    <row r="1571" spans="13:17" ht="12.75">
      <c r="M1571" s="47"/>
      <c r="Q1571" s="47"/>
    </row>
    <row r="1572" spans="13:17" ht="12.75">
      <c r="M1572" s="47"/>
      <c r="Q1572" s="47"/>
    </row>
    <row r="1573" spans="13:17" ht="12.75">
      <c r="M1573" s="47"/>
      <c r="Q1573" s="47"/>
    </row>
    <row r="1574" spans="13:17" ht="12.75">
      <c r="M1574" s="47"/>
      <c r="Q1574" s="47"/>
    </row>
    <row r="1575" spans="13:17" ht="12.75">
      <c r="M1575" s="47"/>
      <c r="Q1575" s="47"/>
    </row>
    <row r="1576" spans="13:17" ht="12.75">
      <c r="M1576" s="47"/>
      <c r="Q1576" s="47"/>
    </row>
    <row r="1577" spans="13:17" ht="12.75">
      <c r="M1577" s="47"/>
      <c r="Q1577" s="47"/>
    </row>
    <row r="1578" spans="13:17" ht="12.75">
      <c r="M1578" s="47"/>
      <c r="Q1578" s="47"/>
    </row>
    <row r="1579" spans="13:17" ht="12.75">
      <c r="M1579" s="47"/>
      <c r="Q1579" s="47"/>
    </row>
    <row r="1580" spans="13:17" ht="12.75">
      <c r="M1580" s="47"/>
      <c r="Q1580" s="47"/>
    </row>
    <row r="1581" spans="13:17" ht="12.75">
      <c r="M1581" s="47"/>
      <c r="Q1581" s="47"/>
    </row>
    <row r="1582" spans="13:17" ht="12.75">
      <c r="M1582" s="47"/>
      <c r="Q1582" s="47"/>
    </row>
    <row r="1583" spans="13:17" ht="12.75">
      <c r="M1583" s="47"/>
      <c r="Q1583" s="47"/>
    </row>
    <row r="1584" spans="13:17" ht="12.75">
      <c r="M1584" s="47"/>
      <c r="Q1584" s="47"/>
    </row>
    <row r="1585" spans="13:17" ht="12.75">
      <c r="M1585" s="47"/>
      <c r="Q1585" s="47"/>
    </row>
    <row r="1586" spans="13:17" ht="12.75">
      <c r="M1586" s="47"/>
      <c r="Q1586" s="47"/>
    </row>
    <row r="1587" spans="13:17" ht="12.75">
      <c r="M1587" s="47"/>
      <c r="Q1587" s="47"/>
    </row>
    <row r="1588" spans="13:17" ht="12.75">
      <c r="M1588" s="47"/>
      <c r="Q1588" s="47"/>
    </row>
    <row r="1589" spans="13:17" ht="12.75">
      <c r="M1589" s="47"/>
      <c r="Q1589" s="47"/>
    </row>
    <row r="1590" spans="13:17" ht="12.75">
      <c r="M1590" s="47"/>
      <c r="Q1590" s="47"/>
    </row>
    <row r="1591" spans="13:17" ht="12.75">
      <c r="M1591" s="47"/>
      <c r="Q1591" s="47"/>
    </row>
    <row r="1592" spans="13:17" ht="12.75">
      <c r="M1592" s="47"/>
      <c r="Q1592" s="47"/>
    </row>
    <row r="1593" spans="13:17" ht="12.75">
      <c r="M1593" s="47"/>
      <c r="Q1593" s="47"/>
    </row>
    <row r="1594" spans="13:17" ht="12.75">
      <c r="M1594" s="47"/>
      <c r="Q1594" s="47"/>
    </row>
    <row r="1595" spans="13:17" ht="12.75">
      <c r="M1595" s="47"/>
      <c r="Q1595" s="47"/>
    </row>
    <row r="1596" spans="13:17" ht="12.75">
      <c r="M1596" s="47"/>
      <c r="Q1596" s="47"/>
    </row>
    <row r="1597" spans="13:17" ht="12.75">
      <c r="M1597" s="47"/>
      <c r="Q1597" s="47"/>
    </row>
    <row r="1598" spans="13:17" ht="12.75">
      <c r="M1598" s="47"/>
      <c r="Q1598" s="47"/>
    </row>
    <row r="1599" spans="13:17" ht="12.75">
      <c r="M1599" s="47"/>
      <c r="Q1599" s="47"/>
    </row>
    <row r="1600" spans="13:17" ht="12.75">
      <c r="M1600" s="47"/>
      <c r="Q1600" s="47"/>
    </row>
    <row r="1601" spans="13:17" ht="12.75">
      <c r="M1601" s="47"/>
      <c r="Q1601" s="47"/>
    </row>
    <row r="1602" spans="13:17" ht="12.75">
      <c r="M1602" s="47"/>
      <c r="Q1602" s="47"/>
    </row>
    <row r="1603" spans="13:17" ht="12.75">
      <c r="M1603" s="47"/>
      <c r="Q1603" s="47"/>
    </row>
    <row r="1604" spans="13:17" ht="12.75">
      <c r="M1604" s="47"/>
      <c r="Q1604" s="47"/>
    </row>
    <row r="1605" spans="13:17" ht="12.75">
      <c r="M1605" s="47"/>
      <c r="Q1605" s="47"/>
    </row>
    <row r="1606" spans="13:17" ht="12.75">
      <c r="M1606" s="47"/>
      <c r="Q1606" s="47"/>
    </row>
    <row r="1607" spans="13:17" ht="12.75">
      <c r="M1607" s="47"/>
      <c r="Q1607" s="47"/>
    </row>
    <row r="1608" spans="13:17" ht="12.75">
      <c r="M1608" s="47"/>
      <c r="Q1608" s="47"/>
    </row>
    <row r="1609" spans="13:17" ht="12.75">
      <c r="M1609" s="47"/>
      <c r="Q1609" s="47"/>
    </row>
    <row r="1610" spans="13:17" ht="12.75">
      <c r="M1610" s="47"/>
      <c r="Q1610" s="47"/>
    </row>
    <row r="1611" spans="13:17" ht="12.75">
      <c r="M1611" s="47"/>
      <c r="Q1611" s="47"/>
    </row>
    <row r="1612" spans="13:17" ht="12.75">
      <c r="M1612" s="47"/>
      <c r="Q1612" s="47"/>
    </row>
    <row r="1613" spans="13:17" ht="12.75">
      <c r="M1613" s="47"/>
      <c r="Q1613" s="47"/>
    </row>
    <row r="1614" spans="13:17" ht="12.75">
      <c r="M1614" s="47"/>
      <c r="Q1614" s="47"/>
    </row>
    <row r="1615" spans="13:17" ht="12.75">
      <c r="M1615" s="47"/>
      <c r="Q1615" s="47"/>
    </row>
    <row r="1616" spans="13:17" ht="12.75">
      <c r="M1616" s="47"/>
      <c r="Q1616" s="47"/>
    </row>
    <row r="1617" spans="13:17" ht="12.75">
      <c r="M1617" s="47"/>
      <c r="Q1617" s="47"/>
    </row>
    <row r="1618" spans="13:17" ht="12.75">
      <c r="M1618" s="47"/>
      <c r="Q1618" s="47"/>
    </row>
    <row r="1619" spans="13:17" ht="12.75">
      <c r="M1619" s="47"/>
      <c r="Q1619" s="47"/>
    </row>
    <row r="1620" spans="13:17" ht="12.75">
      <c r="M1620" s="47"/>
      <c r="Q1620" s="47"/>
    </row>
    <row r="1621" spans="13:17" ht="12.75">
      <c r="M1621" s="47"/>
      <c r="Q1621" s="47"/>
    </row>
    <row r="1622" spans="13:17" ht="12.75">
      <c r="M1622" s="47"/>
      <c r="Q1622" s="47"/>
    </row>
    <row r="1623" spans="13:17" ht="12.75">
      <c r="M1623" s="47"/>
      <c r="Q1623" s="47"/>
    </row>
    <row r="1624" spans="13:17" ht="12.75">
      <c r="M1624" s="47"/>
      <c r="Q1624" s="47"/>
    </row>
    <row r="1625" spans="13:17" ht="12.75">
      <c r="M1625" s="47"/>
      <c r="Q1625" s="47"/>
    </row>
    <row r="1626" spans="13:17" ht="12.75">
      <c r="M1626" s="47"/>
      <c r="Q1626" s="47"/>
    </row>
    <row r="1627" spans="13:17" ht="12.75">
      <c r="M1627" s="47"/>
      <c r="Q1627" s="47"/>
    </row>
    <row r="1628" spans="13:17" ht="12.75">
      <c r="M1628" s="47"/>
      <c r="Q1628" s="47"/>
    </row>
    <row r="1629" spans="13:17" ht="12.75">
      <c r="M1629" s="47"/>
      <c r="Q1629" s="47"/>
    </row>
    <row r="1630" spans="13:17" ht="12.75">
      <c r="M1630" s="47"/>
      <c r="Q1630" s="47"/>
    </row>
    <row r="1631" spans="13:17" ht="12.75">
      <c r="M1631" s="47"/>
      <c r="Q1631" s="47"/>
    </row>
    <row r="1632" spans="13:17" ht="12.75">
      <c r="M1632" s="47"/>
      <c r="Q1632" s="47"/>
    </row>
    <row r="1633" spans="13:17" ht="12.75">
      <c r="M1633" s="47"/>
      <c r="Q1633" s="47"/>
    </row>
    <row r="1634" spans="13:17" ht="12.75">
      <c r="M1634" s="47"/>
      <c r="Q1634" s="47"/>
    </row>
    <row r="1635" spans="13:17" ht="12.75">
      <c r="M1635" s="47"/>
      <c r="Q1635" s="47"/>
    </row>
    <row r="1636" spans="13:17" ht="12.75">
      <c r="M1636" s="47"/>
      <c r="Q1636" s="47"/>
    </row>
    <row r="1637" spans="13:17" ht="12.75">
      <c r="M1637" s="47"/>
      <c r="Q1637" s="47"/>
    </row>
    <row r="1638" spans="13:17" ht="12.75">
      <c r="M1638" s="47"/>
      <c r="Q1638" s="47"/>
    </row>
    <row r="1639" spans="13:17" ht="12.75">
      <c r="M1639" s="47"/>
      <c r="Q1639" s="47"/>
    </row>
    <row r="1640" spans="13:17" ht="12.75">
      <c r="M1640" s="47"/>
      <c r="Q1640" s="47"/>
    </row>
    <row r="1641" spans="13:17" ht="12.75">
      <c r="M1641" s="47"/>
      <c r="Q1641" s="47"/>
    </row>
    <row r="1642" spans="13:17" ht="12.75">
      <c r="M1642" s="47"/>
      <c r="Q1642" s="47"/>
    </row>
    <row r="1643" spans="13:17" ht="12.75">
      <c r="M1643" s="47"/>
      <c r="Q1643" s="47"/>
    </row>
    <row r="1644" spans="13:17" ht="12.75">
      <c r="M1644" s="47"/>
      <c r="Q1644" s="47"/>
    </row>
    <row r="1645" spans="13:17" ht="12.75">
      <c r="M1645" s="47"/>
      <c r="Q1645" s="47"/>
    </row>
    <row r="1646" spans="13:17" ht="12.75">
      <c r="M1646" s="47"/>
      <c r="Q1646" s="47"/>
    </row>
    <row r="1647" spans="13:17" ht="12.75">
      <c r="M1647" s="47"/>
      <c r="Q1647" s="47"/>
    </row>
    <row r="1648" spans="13:17" ht="12.75">
      <c r="M1648" s="47"/>
      <c r="Q1648" s="47"/>
    </row>
    <row r="1649" spans="13:17" ht="12.75">
      <c r="M1649" s="47"/>
      <c r="Q1649" s="47"/>
    </row>
    <row r="1650" spans="13:17" ht="12.75">
      <c r="M1650" s="47"/>
      <c r="Q1650" s="47"/>
    </row>
    <row r="1651" spans="13:17" ht="12.75">
      <c r="M1651" s="47"/>
      <c r="Q1651" s="47"/>
    </row>
    <row r="1652" spans="13:17" ht="12.75">
      <c r="M1652" s="47"/>
      <c r="Q1652" s="47"/>
    </row>
    <row r="1653" spans="13:17" ht="12.75">
      <c r="M1653" s="47"/>
      <c r="Q1653" s="47"/>
    </row>
    <row r="1654" spans="13:17" ht="12.75">
      <c r="M1654" s="47"/>
      <c r="Q1654" s="47"/>
    </row>
    <row r="1655" spans="13:17" ht="12.75">
      <c r="M1655" s="47"/>
      <c r="Q1655" s="47"/>
    </row>
    <row r="1656" spans="13:17" ht="12.75">
      <c r="M1656" s="47"/>
      <c r="Q1656" s="47"/>
    </row>
    <row r="1657" spans="13:17" ht="12.75">
      <c r="M1657" s="47"/>
      <c r="Q1657" s="47"/>
    </row>
    <row r="1658" spans="13:17" ht="12.75">
      <c r="M1658" s="47"/>
      <c r="Q1658" s="47"/>
    </row>
    <row r="1659" spans="13:17" ht="12.75">
      <c r="M1659" s="47"/>
      <c r="Q1659" s="47"/>
    </row>
    <row r="1660" spans="13:17" ht="12.75">
      <c r="M1660" s="47"/>
      <c r="Q1660" s="47"/>
    </row>
    <row r="1661" spans="13:17" ht="12.75">
      <c r="M1661" s="47"/>
      <c r="Q1661" s="47"/>
    </row>
    <row r="1662" spans="13:17" ht="12.75">
      <c r="M1662" s="47"/>
      <c r="Q1662" s="47"/>
    </row>
    <row r="1663" spans="13:17" ht="12.75">
      <c r="M1663" s="47"/>
      <c r="Q1663" s="47"/>
    </row>
    <row r="1664" spans="13:17" ht="12.75">
      <c r="M1664" s="47"/>
      <c r="Q1664" s="47"/>
    </row>
    <row r="1665" spans="13:17" ht="12.75">
      <c r="M1665" s="47"/>
      <c r="Q1665" s="47"/>
    </row>
    <row r="1666" spans="13:17" ht="12.75">
      <c r="M1666" s="47"/>
      <c r="Q1666" s="47"/>
    </row>
    <row r="1667" spans="13:17" ht="12.75">
      <c r="M1667" s="47"/>
      <c r="Q1667" s="47"/>
    </row>
    <row r="1668" spans="13:17" ht="12.75">
      <c r="M1668" s="47"/>
      <c r="Q1668" s="47"/>
    </row>
    <row r="1669" spans="13:17" ht="12.75">
      <c r="M1669" s="47"/>
      <c r="Q1669" s="47"/>
    </row>
    <row r="1670" spans="13:17" ht="12.75">
      <c r="M1670" s="47"/>
      <c r="Q1670" s="47"/>
    </row>
    <row r="1671" spans="13:17" ht="12.75">
      <c r="M1671" s="47"/>
      <c r="Q1671" s="47"/>
    </row>
    <row r="1672" spans="13:17" ht="12.75">
      <c r="M1672" s="47"/>
      <c r="Q1672" s="47"/>
    </row>
    <row r="1673" spans="13:17" ht="12.75">
      <c r="M1673" s="47"/>
      <c r="Q1673" s="47"/>
    </row>
    <row r="1674" spans="13:17" ht="12.75">
      <c r="M1674" s="47"/>
      <c r="Q1674" s="47"/>
    </row>
    <row r="1675" spans="13:17" ht="12.75">
      <c r="M1675" s="47"/>
      <c r="Q1675" s="47"/>
    </row>
    <row r="1676" spans="13:17" ht="12.75">
      <c r="M1676" s="47"/>
      <c r="Q1676" s="47"/>
    </row>
    <row r="1677" spans="13:17" ht="12.75">
      <c r="M1677" s="47"/>
      <c r="Q1677" s="47"/>
    </row>
    <row r="1678" spans="13:17" ht="12.75">
      <c r="M1678" s="47"/>
      <c r="Q1678" s="47"/>
    </row>
    <row r="1679" spans="13:17" ht="12.75">
      <c r="M1679" s="47"/>
      <c r="Q1679" s="47"/>
    </row>
    <row r="1680" spans="13:17" ht="12.75">
      <c r="M1680" s="47"/>
      <c r="Q1680" s="47"/>
    </row>
    <row r="1681" spans="13:17" ht="12.75">
      <c r="M1681" s="47"/>
      <c r="Q1681" s="47"/>
    </row>
    <row r="1682" spans="13:17" ht="12.75">
      <c r="M1682" s="47"/>
      <c r="Q1682" s="47"/>
    </row>
    <row r="1683" spans="13:17" ht="12.75">
      <c r="M1683" s="47"/>
      <c r="Q1683" s="47"/>
    </row>
    <row r="1684" spans="13:17" ht="12.75">
      <c r="M1684" s="47"/>
      <c r="Q1684" s="47"/>
    </row>
    <row r="1685" spans="13:17" ht="12.75">
      <c r="M1685" s="47"/>
      <c r="Q1685" s="47"/>
    </row>
    <row r="1686" spans="13:17" ht="12.75">
      <c r="M1686" s="47"/>
      <c r="Q1686" s="47"/>
    </row>
    <row r="1687" spans="13:17" ht="12.75">
      <c r="M1687" s="47"/>
      <c r="Q1687" s="47"/>
    </row>
    <row r="1688" spans="13:17" ht="12.75">
      <c r="M1688" s="47"/>
      <c r="Q1688" s="47"/>
    </row>
    <row r="1689" spans="13:17" ht="12.75">
      <c r="M1689" s="47"/>
      <c r="Q1689" s="47"/>
    </row>
    <row r="1690" spans="13:17" ht="12.75">
      <c r="M1690" s="47"/>
      <c r="Q1690" s="47"/>
    </row>
    <row r="1691" spans="13:17" ht="12.75">
      <c r="M1691" s="47"/>
      <c r="Q1691" s="47"/>
    </row>
    <row r="1692" spans="13:17" ht="12.75">
      <c r="M1692" s="47"/>
      <c r="Q1692" s="47"/>
    </row>
    <row r="1693" spans="13:17" ht="12.75">
      <c r="M1693" s="47"/>
      <c r="Q1693" s="47"/>
    </row>
    <row r="1694" spans="13:17" ht="12.75">
      <c r="M1694" s="47"/>
      <c r="Q1694" s="47"/>
    </row>
    <row r="1695" spans="13:17" ht="12.75">
      <c r="M1695" s="47"/>
      <c r="Q1695" s="47"/>
    </row>
    <row r="1696" spans="13:17" ht="12.75">
      <c r="M1696" s="47"/>
      <c r="Q1696" s="47"/>
    </row>
    <row r="1697" spans="13:17" ht="12.75">
      <c r="M1697" s="47"/>
      <c r="Q1697" s="47"/>
    </row>
    <row r="1698" spans="13:17" ht="12.75">
      <c r="M1698" s="47"/>
      <c r="Q1698" s="47"/>
    </row>
    <row r="1699" spans="13:17" ht="12.75">
      <c r="M1699" s="47"/>
      <c r="Q1699" s="47"/>
    </row>
    <row r="1700" spans="13:17" ht="12.75">
      <c r="M1700" s="47"/>
      <c r="Q1700" s="47"/>
    </row>
    <row r="1701" spans="13:17" ht="12.75">
      <c r="M1701" s="47"/>
      <c r="Q1701" s="47"/>
    </row>
    <row r="1702" spans="13:17" ht="12.75">
      <c r="M1702" s="47"/>
      <c r="Q1702" s="47"/>
    </row>
    <row r="1703" spans="13:17" ht="12.75">
      <c r="M1703" s="47"/>
      <c r="Q1703" s="47"/>
    </row>
    <row r="1704" spans="13:17" ht="12.75">
      <c r="M1704" s="47"/>
      <c r="Q1704" s="47"/>
    </row>
    <row r="1705" spans="13:17" ht="12.75">
      <c r="M1705" s="47"/>
      <c r="Q1705" s="47"/>
    </row>
    <row r="1706" spans="13:17" ht="12.75">
      <c r="M1706" s="47"/>
      <c r="Q1706" s="47"/>
    </row>
    <row r="1707" spans="13:17" ht="12.75">
      <c r="M1707" s="47"/>
      <c r="Q1707" s="47"/>
    </row>
    <row r="1708" spans="13:17" ht="12.75">
      <c r="M1708" s="47"/>
      <c r="Q1708" s="47"/>
    </row>
    <row r="1709" spans="13:17" ht="12.75">
      <c r="M1709" s="47"/>
      <c r="Q1709" s="47"/>
    </row>
    <row r="1710" spans="13:17" ht="12.75">
      <c r="M1710" s="47"/>
      <c r="Q1710" s="47"/>
    </row>
    <row r="1711" spans="13:17" ht="12.75">
      <c r="M1711" s="47"/>
      <c r="Q1711" s="47"/>
    </row>
    <row r="1712" spans="13:17" ht="12.75">
      <c r="M1712" s="47"/>
      <c r="Q1712" s="47"/>
    </row>
    <row r="1713" spans="13:17" ht="12.75">
      <c r="M1713" s="47"/>
      <c r="Q1713" s="47"/>
    </row>
    <row r="1714" spans="13:17" ht="12.75">
      <c r="M1714" s="47"/>
      <c r="Q1714" s="47"/>
    </row>
    <row r="1715" spans="13:17" ht="12.75">
      <c r="M1715" s="47"/>
      <c r="Q1715" s="47"/>
    </row>
    <row r="1716" spans="13:17" ht="12.75">
      <c r="M1716" s="47"/>
      <c r="Q1716" s="47"/>
    </row>
    <row r="1717" spans="13:17" ht="12.75">
      <c r="M1717" s="47"/>
      <c r="Q1717" s="47"/>
    </row>
    <row r="1718" spans="13:17" ht="12.75">
      <c r="M1718" s="47"/>
      <c r="Q1718" s="47"/>
    </row>
    <row r="1719" spans="13:17" ht="12.75">
      <c r="M1719" s="47"/>
      <c r="Q1719" s="47"/>
    </row>
    <row r="1720" spans="13:17" ht="12.75">
      <c r="M1720" s="47"/>
      <c r="Q1720" s="47"/>
    </row>
    <row r="1721" spans="13:17" ht="12.75">
      <c r="M1721" s="47"/>
      <c r="Q1721" s="47"/>
    </row>
    <row r="1722" spans="13:17" ht="12.75">
      <c r="M1722" s="47"/>
      <c r="Q1722" s="47"/>
    </row>
    <row r="1723" spans="13:17" ht="12.75">
      <c r="M1723" s="47"/>
      <c r="Q1723" s="47"/>
    </row>
    <row r="1724" spans="13:17" ht="12.75">
      <c r="M1724" s="47"/>
      <c r="Q1724" s="47"/>
    </row>
    <row r="1725" spans="13:17" ht="12.75">
      <c r="M1725" s="47"/>
      <c r="Q1725" s="47"/>
    </row>
    <row r="1726" spans="13:17" ht="12.75">
      <c r="M1726" s="47"/>
      <c r="Q1726" s="47"/>
    </row>
    <row r="1727" spans="13:17" ht="12.75">
      <c r="M1727" s="47"/>
      <c r="Q1727" s="47"/>
    </row>
    <row r="1728" spans="13:17" ht="12.75">
      <c r="M1728" s="47"/>
      <c r="Q1728" s="47"/>
    </row>
    <row r="1729" spans="13:17" ht="12.75">
      <c r="M1729" s="47"/>
      <c r="Q1729" s="47"/>
    </row>
    <row r="1730" spans="13:17" ht="12.75">
      <c r="M1730" s="47"/>
      <c r="Q1730" s="47"/>
    </row>
    <row r="1731" spans="13:17" ht="12.75">
      <c r="M1731" s="47"/>
      <c r="Q1731" s="47"/>
    </row>
    <row r="1732" spans="13:17" ht="12.75">
      <c r="M1732" s="47"/>
      <c r="Q1732" s="47"/>
    </row>
    <row r="1733" spans="13:17" ht="12.75">
      <c r="M1733" s="47"/>
      <c r="Q1733" s="47"/>
    </row>
    <row r="1734" spans="13:17" ht="12.75">
      <c r="M1734" s="47"/>
      <c r="Q1734" s="47"/>
    </row>
    <row r="1735" spans="13:17" ht="12.75">
      <c r="M1735" s="47"/>
      <c r="Q1735" s="47"/>
    </row>
    <row r="1736" spans="13:17" ht="12.75">
      <c r="M1736" s="47"/>
      <c r="Q1736" s="47"/>
    </row>
    <row r="1737" spans="13:17" ht="12.75">
      <c r="M1737" s="47"/>
      <c r="Q1737" s="47"/>
    </row>
    <row r="1738" spans="13:17" ht="12.75">
      <c r="M1738" s="47"/>
      <c r="Q1738" s="47"/>
    </row>
    <row r="1739" spans="13:17" ht="12.75">
      <c r="M1739" s="47"/>
      <c r="Q1739" s="47"/>
    </row>
    <row r="1740" spans="13:17" ht="12.75">
      <c r="M1740" s="47"/>
      <c r="Q1740" s="47"/>
    </row>
    <row r="1741" spans="13:17" ht="12.75">
      <c r="M1741" s="47"/>
      <c r="Q1741" s="47"/>
    </row>
    <row r="1742" spans="13:17" ht="12.75">
      <c r="M1742" s="47"/>
      <c r="Q1742" s="47"/>
    </row>
    <row r="1743" spans="13:17" ht="12.75">
      <c r="M1743" s="47"/>
      <c r="Q1743" s="47"/>
    </row>
    <row r="1744" spans="13:17" ht="12.75">
      <c r="M1744" s="47"/>
      <c r="Q1744" s="47"/>
    </row>
    <row r="1745" spans="13:17" ht="12.75">
      <c r="M1745" s="47"/>
      <c r="Q1745" s="47"/>
    </row>
    <row r="1746" spans="13:17" ht="12.75">
      <c r="M1746" s="47"/>
      <c r="Q1746" s="47"/>
    </row>
    <row r="1747" spans="13:17" ht="12.75">
      <c r="M1747" s="47"/>
      <c r="Q1747" s="47"/>
    </row>
    <row r="1748" spans="13:17" ht="12.75">
      <c r="M1748" s="47"/>
      <c r="Q1748" s="47"/>
    </row>
    <row r="1749" spans="13:17" ht="12.75">
      <c r="M1749" s="47"/>
      <c r="Q1749" s="47"/>
    </row>
    <row r="1750" spans="13:17" ht="12.75">
      <c r="M1750" s="47"/>
      <c r="Q1750" s="47"/>
    </row>
    <row r="1751" spans="13:17" ht="12.75">
      <c r="M1751" s="47"/>
      <c r="Q1751" s="47"/>
    </row>
    <row r="1752" spans="13:17" ht="12.75">
      <c r="M1752" s="47"/>
      <c r="Q1752" s="47"/>
    </row>
    <row r="1753" spans="13:17" ht="12.75">
      <c r="M1753" s="47"/>
      <c r="Q1753" s="47"/>
    </row>
    <row r="1754" spans="13:17" ht="12.75">
      <c r="M1754" s="47"/>
      <c r="Q1754" s="47"/>
    </row>
    <row r="1755" spans="13:17" ht="12.75">
      <c r="M1755" s="47"/>
      <c r="Q1755" s="47"/>
    </row>
    <row r="1756" spans="13:17" ht="12.75">
      <c r="M1756" s="47"/>
      <c r="Q1756" s="47"/>
    </row>
    <row r="1757" spans="13:17" ht="12.75">
      <c r="M1757" s="47"/>
      <c r="Q1757" s="47"/>
    </row>
    <row r="1758" spans="13:17" ht="12.75">
      <c r="M1758" s="47"/>
      <c r="Q1758" s="47"/>
    </row>
    <row r="1759" spans="13:17" ht="12.75">
      <c r="M1759" s="47"/>
      <c r="Q1759" s="47"/>
    </row>
    <row r="1760" spans="13:17" ht="12.75">
      <c r="M1760" s="47"/>
      <c r="Q1760" s="47"/>
    </row>
    <row r="1761" spans="13:17" ht="12.75">
      <c r="M1761" s="47"/>
      <c r="Q1761" s="47"/>
    </row>
    <row r="1762" spans="13:17" ht="12.75">
      <c r="M1762" s="47"/>
      <c r="Q1762" s="47"/>
    </row>
    <row r="1763" spans="13:17" ht="12.75">
      <c r="M1763" s="47"/>
      <c r="Q1763" s="47"/>
    </row>
    <row r="1764" spans="13:17" ht="12.75">
      <c r="M1764" s="47"/>
      <c r="Q1764" s="47"/>
    </row>
    <row r="1765" spans="13:17" ht="12.75">
      <c r="M1765" s="47"/>
      <c r="Q1765" s="47"/>
    </row>
    <row r="1766" spans="13:17" ht="12.75">
      <c r="M1766" s="47"/>
      <c r="Q1766" s="47"/>
    </row>
    <row r="1767" spans="13:17" ht="12.75">
      <c r="M1767" s="47"/>
      <c r="Q1767" s="47"/>
    </row>
    <row r="1768" spans="13:17" ht="12.75">
      <c r="M1768" s="47"/>
      <c r="Q1768" s="47"/>
    </row>
    <row r="1769" spans="13:17" ht="12.75">
      <c r="M1769" s="47"/>
      <c r="Q1769" s="47"/>
    </row>
    <row r="1770" spans="13:17" ht="12.75">
      <c r="M1770" s="47"/>
      <c r="Q1770" s="47"/>
    </row>
    <row r="1771" spans="13:17" ht="12.75">
      <c r="M1771" s="47"/>
      <c r="Q1771" s="47"/>
    </row>
    <row r="1772" spans="13:17" ht="12.75">
      <c r="M1772" s="47"/>
      <c r="Q1772" s="47"/>
    </row>
    <row r="1773" spans="13:17" ht="12.75">
      <c r="M1773" s="47"/>
      <c r="Q1773" s="47"/>
    </row>
    <row r="1774" spans="13:17" ht="12.75">
      <c r="M1774" s="47"/>
      <c r="Q1774" s="47"/>
    </row>
    <row r="1775" spans="13:17" ht="12.75">
      <c r="M1775" s="47"/>
      <c r="Q1775" s="47"/>
    </row>
    <row r="1776" spans="13:17" ht="12.75">
      <c r="M1776" s="47"/>
      <c r="Q1776" s="47"/>
    </row>
    <row r="1777" spans="13:17" ht="12.75">
      <c r="M1777" s="47"/>
      <c r="Q1777" s="47"/>
    </row>
    <row r="1778" spans="13:17" ht="12.75">
      <c r="M1778" s="47"/>
      <c r="Q1778" s="47"/>
    </row>
    <row r="1779" spans="13:17" ht="12.75">
      <c r="M1779" s="47"/>
      <c r="Q1779" s="47"/>
    </row>
    <row r="1780" spans="13:17" ht="12.75">
      <c r="M1780" s="47"/>
      <c r="Q1780" s="47"/>
    </row>
    <row r="1781" spans="13:17" ht="12.75">
      <c r="M1781" s="47"/>
      <c r="Q1781" s="47"/>
    </row>
    <row r="1782" spans="13:17" ht="12.75">
      <c r="M1782" s="47"/>
      <c r="Q1782" s="47"/>
    </row>
    <row r="1783" spans="13:17" ht="12.75">
      <c r="M1783" s="47"/>
      <c r="Q1783" s="47"/>
    </row>
    <row r="1784" spans="13:17" ht="12.75">
      <c r="M1784" s="47"/>
      <c r="Q1784" s="47"/>
    </row>
    <row r="1785" spans="13:17" ht="12.75">
      <c r="M1785" s="47"/>
      <c r="Q1785" s="47"/>
    </row>
    <row r="1786" spans="13:17" ht="12.75">
      <c r="M1786" s="47"/>
      <c r="Q1786" s="47"/>
    </row>
    <row r="1787" spans="13:17" ht="12.75">
      <c r="M1787" s="47"/>
      <c r="Q1787" s="47"/>
    </row>
    <row r="1788" spans="13:17" ht="12.75">
      <c r="M1788" s="47"/>
      <c r="Q1788" s="47"/>
    </row>
    <row r="1789" spans="13:17" ht="12.75">
      <c r="M1789" s="47"/>
      <c r="Q1789" s="47"/>
    </row>
    <row r="1790" spans="13:17" ht="12.75">
      <c r="M1790" s="47"/>
      <c r="Q1790" s="47"/>
    </row>
    <row r="1791" spans="13:17" ht="12.75">
      <c r="M1791" s="47"/>
      <c r="Q1791" s="47"/>
    </row>
    <row r="1792" spans="13:17" ht="12.75">
      <c r="M1792" s="47"/>
      <c r="Q1792" s="47"/>
    </row>
    <row r="1793" spans="13:17" ht="12.75">
      <c r="M1793" s="47"/>
      <c r="Q1793" s="47"/>
    </row>
    <row r="1794" spans="13:17" ht="12.75">
      <c r="M1794" s="47"/>
      <c r="Q1794" s="47"/>
    </row>
    <row r="1795" spans="13:17" ht="12.75">
      <c r="M1795" s="47"/>
      <c r="Q1795" s="47"/>
    </row>
    <row r="1796" spans="13:17" ht="12.75">
      <c r="M1796" s="47"/>
      <c r="Q1796" s="47"/>
    </row>
    <row r="1797" spans="13:17" ht="12.75">
      <c r="M1797" s="47"/>
      <c r="Q1797" s="47"/>
    </row>
    <row r="1798" spans="13:17" ht="12.75">
      <c r="M1798" s="47"/>
      <c r="Q1798" s="47"/>
    </row>
    <row r="1799" spans="13:17" ht="12.75">
      <c r="M1799" s="47"/>
      <c r="Q1799" s="47"/>
    </row>
    <row r="1800" spans="13:17" ht="12.75">
      <c r="M1800" s="47"/>
      <c r="Q1800" s="47"/>
    </row>
    <row r="1801" spans="13:17" ht="12.75">
      <c r="M1801" s="47"/>
      <c r="Q1801" s="47"/>
    </row>
    <row r="1802" spans="13:17" ht="12.75">
      <c r="M1802" s="47"/>
      <c r="Q1802" s="47"/>
    </row>
    <row r="1803" spans="13:17" ht="12.75">
      <c r="M1803" s="47"/>
      <c r="Q1803" s="47"/>
    </row>
    <row r="1804" spans="13:17" ht="12.75">
      <c r="M1804" s="47"/>
      <c r="Q1804" s="47"/>
    </row>
    <row r="1805" spans="13:17" ht="12.75">
      <c r="M1805" s="47"/>
      <c r="Q1805" s="47"/>
    </row>
    <row r="1806" spans="13:17" ht="12.75">
      <c r="M1806" s="47"/>
      <c r="Q1806" s="47"/>
    </row>
    <row r="1807" spans="13:17" ht="12.75">
      <c r="M1807" s="47"/>
      <c r="Q1807" s="47"/>
    </row>
    <row r="1808" spans="13:17" ht="12.75">
      <c r="M1808" s="47"/>
      <c r="Q1808" s="47"/>
    </row>
    <row r="1809" spans="13:17" ht="12.75">
      <c r="M1809" s="47"/>
      <c r="Q1809" s="47"/>
    </row>
    <row r="1810" spans="13:17" ht="12.75">
      <c r="M1810" s="47"/>
      <c r="Q1810" s="47"/>
    </row>
    <row r="1811" spans="13:17" ht="12.75">
      <c r="M1811" s="47"/>
      <c r="Q1811" s="47"/>
    </row>
    <row r="1812" spans="13:17" ht="12.75">
      <c r="M1812" s="47"/>
      <c r="Q1812" s="47"/>
    </row>
    <row r="1813" spans="13:17" ht="12.75">
      <c r="M1813" s="47"/>
      <c r="Q1813" s="47"/>
    </row>
    <row r="1814" spans="13:17" ht="12.75">
      <c r="M1814" s="47"/>
      <c r="Q1814" s="47"/>
    </row>
    <row r="1815" spans="13:17" ht="12.75">
      <c r="M1815" s="47"/>
      <c r="Q1815" s="47"/>
    </row>
    <row r="1816" spans="13:17" ht="12.75">
      <c r="M1816" s="47"/>
      <c r="Q1816" s="47"/>
    </row>
    <row r="1817" spans="13:17" ht="12.75">
      <c r="M1817" s="47"/>
      <c r="Q1817" s="47"/>
    </row>
    <row r="1818" spans="13:17" ht="12.75">
      <c r="M1818" s="47"/>
      <c r="Q1818" s="47"/>
    </row>
    <row r="1819" spans="13:17" ht="12.75">
      <c r="M1819" s="47"/>
      <c r="Q1819" s="47"/>
    </row>
    <row r="1820" spans="13:17" ht="12.75">
      <c r="M1820" s="47"/>
      <c r="Q1820" s="47"/>
    </row>
    <row r="1821" spans="13:17" ht="12.75">
      <c r="M1821" s="47"/>
      <c r="Q1821" s="47"/>
    </row>
    <row r="1822" spans="13:17" ht="12.75">
      <c r="M1822" s="47"/>
      <c r="Q1822" s="47"/>
    </row>
    <row r="1823" spans="13:17" ht="12.75">
      <c r="M1823" s="47"/>
      <c r="Q1823" s="47"/>
    </row>
    <row r="1824" spans="13:17" ht="12.75">
      <c r="M1824" s="47"/>
      <c r="Q1824" s="47"/>
    </row>
    <row r="1825" spans="13:17" ht="12.75">
      <c r="M1825" s="47"/>
      <c r="Q1825" s="47"/>
    </row>
    <row r="1826" spans="13:17" ht="12.75">
      <c r="M1826" s="47"/>
      <c r="Q1826" s="47"/>
    </row>
    <row r="1827" spans="13:17" ht="12.75">
      <c r="M1827" s="47"/>
      <c r="Q1827" s="47"/>
    </row>
    <row r="1828" spans="13:17" ht="12.75">
      <c r="M1828" s="47"/>
      <c r="Q1828" s="47"/>
    </row>
    <row r="1829" spans="13:17" ht="12.75">
      <c r="M1829" s="47"/>
      <c r="Q1829" s="47"/>
    </row>
    <row r="1830" spans="13:17" ht="12.75">
      <c r="M1830" s="47"/>
      <c r="Q1830" s="47"/>
    </row>
    <row r="1831" spans="13:17" ht="12.75">
      <c r="M1831" s="47"/>
      <c r="Q1831" s="47"/>
    </row>
    <row r="1832" spans="13:17" ht="12.75">
      <c r="M1832" s="47"/>
      <c r="Q1832" s="47"/>
    </row>
    <row r="1833" spans="13:17" ht="12.75">
      <c r="M1833" s="47"/>
      <c r="Q1833" s="47"/>
    </row>
    <row r="1834" spans="13:17" ht="12.75">
      <c r="M1834" s="47"/>
      <c r="Q1834" s="47"/>
    </row>
    <row r="1835" spans="13:17" ht="12.75">
      <c r="M1835" s="47"/>
      <c r="Q1835" s="47"/>
    </row>
    <row r="1836" spans="13:17" ht="12.75">
      <c r="M1836" s="47"/>
      <c r="Q1836" s="47"/>
    </row>
    <row r="1837" spans="13:17" ht="12.75">
      <c r="M1837" s="47"/>
      <c r="Q1837" s="47"/>
    </row>
    <row r="1838" spans="13:17" ht="12.75">
      <c r="M1838" s="47"/>
      <c r="Q1838" s="47"/>
    </row>
    <row r="1839" spans="13:17" ht="12.75">
      <c r="M1839" s="47"/>
      <c r="Q1839" s="47"/>
    </row>
    <row r="1840" spans="13:17" ht="12.75">
      <c r="M1840" s="47"/>
      <c r="Q1840" s="47"/>
    </row>
    <row r="1841" spans="13:17" ht="12.75">
      <c r="M1841" s="47"/>
      <c r="Q1841" s="47"/>
    </row>
    <row r="1842" spans="13:17" ht="12.75">
      <c r="M1842" s="47"/>
      <c r="Q1842" s="47"/>
    </row>
    <row r="1843" spans="13:17" ht="12.75">
      <c r="M1843" s="47"/>
      <c r="Q1843" s="47"/>
    </row>
    <row r="1844" spans="13:17" ht="12.75">
      <c r="M1844" s="47"/>
      <c r="Q1844" s="47"/>
    </row>
    <row r="1845" spans="13:17" ht="12.75">
      <c r="M1845" s="47"/>
      <c r="Q1845" s="47"/>
    </row>
    <row r="1846" spans="13:17" ht="12.75">
      <c r="M1846" s="47"/>
      <c r="Q1846" s="47"/>
    </row>
    <row r="1847" spans="13:17" ht="12.75">
      <c r="M1847" s="47"/>
      <c r="Q1847" s="47"/>
    </row>
    <row r="1848" spans="13:17" ht="12.75">
      <c r="M1848" s="47"/>
      <c r="Q1848" s="47"/>
    </row>
    <row r="1849" spans="13:17" ht="12.75">
      <c r="M1849" s="47"/>
      <c r="Q1849" s="47"/>
    </row>
    <row r="1850" spans="13:17" ht="12.75">
      <c r="M1850" s="47"/>
      <c r="Q1850" s="47"/>
    </row>
    <row r="1851" spans="13:17" ht="12.75">
      <c r="M1851" s="47"/>
      <c r="Q1851" s="47"/>
    </row>
    <row r="1852" spans="13:17" ht="12.75">
      <c r="M1852" s="47"/>
      <c r="Q1852" s="47"/>
    </row>
    <row r="1853" spans="13:17" ht="12.75">
      <c r="M1853" s="47"/>
      <c r="Q1853" s="47"/>
    </row>
    <row r="1854" spans="13:17" ht="12.75">
      <c r="M1854" s="47"/>
      <c r="Q1854" s="47"/>
    </row>
    <row r="1855" spans="13:17" ht="12.75">
      <c r="M1855" s="47"/>
      <c r="Q1855" s="47"/>
    </row>
    <row r="1856" spans="13:17" ht="12.75">
      <c r="M1856" s="47"/>
      <c r="Q1856" s="47"/>
    </row>
    <row r="1857" spans="13:17" ht="12.75">
      <c r="M1857" s="47"/>
      <c r="Q1857" s="47"/>
    </row>
    <row r="1858" spans="13:17" ht="12.75">
      <c r="M1858" s="47"/>
      <c r="Q1858" s="47"/>
    </row>
    <row r="1859" spans="13:17" ht="12.75">
      <c r="M1859" s="47"/>
      <c r="Q1859" s="47"/>
    </row>
    <row r="1860" spans="13:17" ht="12.75">
      <c r="M1860" s="47"/>
      <c r="Q1860" s="47"/>
    </row>
    <row r="1861" spans="13:17" ht="12.75">
      <c r="M1861" s="47"/>
      <c r="Q1861" s="47"/>
    </row>
    <row r="1862" spans="13:17" ht="12.75">
      <c r="M1862" s="47"/>
      <c r="Q1862" s="47"/>
    </row>
    <row r="1863" spans="13:17" ht="12.75">
      <c r="M1863" s="47"/>
      <c r="Q1863" s="47"/>
    </row>
    <row r="1864" spans="13:17" ht="12.75">
      <c r="M1864" s="47"/>
      <c r="Q1864" s="47"/>
    </row>
    <row r="1865" spans="13:17" ht="12.75">
      <c r="M1865" s="47"/>
      <c r="Q1865" s="47"/>
    </row>
    <row r="1866" spans="13:17" ht="12.75">
      <c r="M1866" s="47"/>
      <c r="Q1866" s="47"/>
    </row>
    <row r="1867" spans="13:17" ht="12.75">
      <c r="M1867" s="47"/>
      <c r="Q1867" s="47"/>
    </row>
    <row r="1868" spans="13:17" ht="12.75">
      <c r="M1868" s="47"/>
      <c r="Q1868" s="47"/>
    </row>
    <row r="1869" spans="13:17" ht="12.75">
      <c r="M1869" s="47"/>
      <c r="Q1869" s="47"/>
    </row>
    <row r="1870" spans="13:17" ht="12.75">
      <c r="M1870" s="47"/>
      <c r="Q1870" s="47"/>
    </row>
    <row r="1871" spans="13:17" ht="12.75">
      <c r="M1871" s="47"/>
      <c r="Q1871" s="47"/>
    </row>
    <row r="1872" spans="13:17" ht="12.75">
      <c r="M1872" s="47"/>
      <c r="Q1872" s="47"/>
    </row>
    <row r="1873" spans="13:17" ht="12.75">
      <c r="M1873" s="47"/>
      <c r="Q1873" s="47"/>
    </row>
    <row r="1874" spans="13:17" ht="12.75">
      <c r="M1874" s="47"/>
      <c r="Q1874" s="47"/>
    </row>
    <row r="1875" spans="13:17" ht="12.75">
      <c r="M1875" s="47"/>
      <c r="Q1875" s="47"/>
    </row>
    <row r="1876" spans="13:17" ht="12.75">
      <c r="M1876" s="47"/>
      <c r="Q1876" s="47"/>
    </row>
    <row r="1877" spans="13:17" ht="12.75">
      <c r="M1877" s="47"/>
      <c r="Q1877" s="47"/>
    </row>
    <row r="1878" spans="13:17" ht="12.75">
      <c r="M1878" s="47"/>
      <c r="Q1878" s="47"/>
    </row>
    <row r="1879" spans="13:17" ht="12.75">
      <c r="M1879" s="47"/>
      <c r="Q1879" s="47"/>
    </row>
    <row r="1880" spans="13:17" ht="12.75">
      <c r="M1880" s="47"/>
      <c r="Q1880" s="47"/>
    </row>
    <row r="1881" spans="13:17" ht="12.75">
      <c r="M1881" s="47"/>
      <c r="Q1881" s="47"/>
    </row>
    <row r="1882" spans="13:17" ht="12.75">
      <c r="M1882" s="47"/>
      <c r="Q1882" s="47"/>
    </row>
    <row r="1883" spans="13:17" ht="12.75">
      <c r="M1883" s="47"/>
      <c r="Q1883" s="47"/>
    </row>
    <row r="1884" spans="13:17" ht="12.75">
      <c r="M1884" s="47"/>
      <c r="Q1884" s="47"/>
    </row>
    <row r="1885" spans="13:17" ht="12.75">
      <c r="M1885" s="47"/>
      <c r="Q1885" s="47"/>
    </row>
    <row r="1886" spans="13:17" ht="12.75">
      <c r="M1886" s="47"/>
      <c r="Q1886" s="47"/>
    </row>
    <row r="1887" spans="13:17" ht="12.75">
      <c r="M1887" s="47"/>
      <c r="Q1887" s="47"/>
    </row>
    <row r="1888" spans="13:17" ht="12.75">
      <c r="M1888" s="47"/>
      <c r="Q1888" s="47"/>
    </row>
    <row r="1889" spans="13:17" ht="12.75">
      <c r="M1889" s="47"/>
      <c r="Q1889" s="47"/>
    </row>
    <row r="1890" spans="13:17" ht="12.75">
      <c r="M1890" s="47"/>
      <c r="Q1890" s="47"/>
    </row>
    <row r="1891" spans="13:17" ht="12.75">
      <c r="M1891" s="47"/>
      <c r="Q1891" s="47"/>
    </row>
    <row r="1892" spans="13:17" ht="12.75">
      <c r="M1892" s="47"/>
      <c r="Q1892" s="47"/>
    </row>
    <row r="1893" spans="13:17" ht="12.75">
      <c r="M1893" s="47"/>
      <c r="Q1893" s="47"/>
    </row>
    <row r="1894" spans="13:17" ht="12.75">
      <c r="M1894" s="47"/>
      <c r="Q1894" s="47"/>
    </row>
    <row r="1895" spans="13:17" ht="12.75">
      <c r="M1895" s="47"/>
      <c r="Q1895" s="47"/>
    </row>
    <row r="1896" spans="13:17" ht="12.75">
      <c r="M1896" s="47"/>
      <c r="Q1896" s="47"/>
    </row>
    <row r="1897" spans="13:17" ht="12.75">
      <c r="M1897" s="47"/>
      <c r="Q1897" s="47"/>
    </row>
    <row r="1898" spans="13:17" ht="12.75">
      <c r="M1898" s="47"/>
      <c r="Q1898" s="47"/>
    </row>
    <row r="1899" spans="13:17" ht="12.75">
      <c r="M1899" s="47"/>
      <c r="Q1899" s="47"/>
    </row>
    <row r="1900" spans="13:17" ht="12.75">
      <c r="M1900" s="47"/>
      <c r="Q1900" s="47"/>
    </row>
    <row r="1901" spans="13:17" ht="12.75">
      <c r="M1901" s="47"/>
      <c r="Q1901" s="47"/>
    </row>
    <row r="1902" spans="13:17" ht="12.75">
      <c r="M1902" s="47"/>
      <c r="Q1902" s="47"/>
    </row>
    <row r="1903" spans="13:17" ht="12.75">
      <c r="M1903" s="47"/>
      <c r="Q1903" s="47"/>
    </row>
    <row r="1904" spans="13:17" ht="12.75">
      <c r="M1904" s="47"/>
      <c r="Q1904" s="47"/>
    </row>
    <row r="1905" spans="13:17" ht="12.75">
      <c r="M1905" s="47"/>
      <c r="Q1905" s="47"/>
    </row>
    <row r="1906" spans="13:17" ht="12.75">
      <c r="M1906" s="47"/>
      <c r="Q1906" s="47"/>
    </row>
    <row r="1907" spans="13:17" ht="12.75">
      <c r="M1907" s="47"/>
      <c r="Q1907" s="47"/>
    </row>
    <row r="1908" spans="13:17" ht="12.75">
      <c r="M1908" s="47"/>
      <c r="Q1908" s="47"/>
    </row>
    <row r="1909" spans="13:17" ht="12.75">
      <c r="M1909" s="47"/>
      <c r="Q1909" s="47"/>
    </row>
    <row r="1910" spans="13:17" ht="12.75">
      <c r="M1910" s="47"/>
      <c r="Q1910" s="47"/>
    </row>
    <row r="1911" spans="13:17" ht="12.75">
      <c r="M1911" s="47"/>
      <c r="Q1911" s="47"/>
    </row>
    <row r="1912" spans="13:17" ht="12.75">
      <c r="M1912" s="47"/>
      <c r="Q1912" s="47"/>
    </row>
    <row r="1913" spans="13:17" ht="12.75">
      <c r="M1913" s="47"/>
      <c r="Q1913" s="47"/>
    </row>
    <row r="1914" spans="13:17" ht="12.75">
      <c r="M1914" s="47"/>
      <c r="Q1914" s="47"/>
    </row>
    <row r="1915" spans="13:17" ht="12.75">
      <c r="M1915" s="47"/>
      <c r="Q1915" s="47"/>
    </row>
    <row r="1916" spans="13:17" ht="12.75">
      <c r="M1916" s="47"/>
      <c r="Q1916" s="47"/>
    </row>
    <row r="1917" spans="13:17" ht="12.75">
      <c r="M1917" s="47"/>
      <c r="Q1917" s="47"/>
    </row>
    <row r="1918" spans="13:17" ht="12.75">
      <c r="M1918" s="47"/>
      <c r="Q1918" s="47"/>
    </row>
    <row r="1919" spans="13:17" ht="12.75">
      <c r="M1919" s="47"/>
      <c r="Q1919" s="47"/>
    </row>
    <row r="1920" spans="13:17" ht="12.75">
      <c r="M1920" s="47"/>
      <c r="Q1920" s="47"/>
    </row>
    <row r="1921" spans="13:17" ht="12.75">
      <c r="M1921" s="47"/>
      <c r="Q1921" s="47"/>
    </row>
    <row r="1922" spans="13:17" ht="12.75">
      <c r="M1922" s="47"/>
      <c r="Q1922" s="47"/>
    </row>
    <row r="1923" spans="13:17" ht="12.75">
      <c r="M1923" s="47"/>
      <c r="Q1923" s="47"/>
    </row>
    <row r="1924" spans="13:17" ht="12.75">
      <c r="M1924" s="47"/>
      <c r="Q1924" s="47"/>
    </row>
    <row r="1925" spans="13:17" ht="12.75">
      <c r="M1925" s="47"/>
      <c r="Q1925" s="47"/>
    </row>
    <row r="1926" spans="13:17" ht="12.75">
      <c r="M1926" s="47"/>
      <c r="Q1926" s="47"/>
    </row>
    <row r="1927" spans="13:17" ht="12.75">
      <c r="M1927" s="47"/>
      <c r="Q1927" s="47"/>
    </row>
    <row r="1928" spans="13:17" ht="12.75">
      <c r="M1928" s="47"/>
      <c r="Q1928" s="47"/>
    </row>
    <row r="1929" spans="13:17" ht="12.75">
      <c r="M1929" s="47"/>
      <c r="Q1929" s="47"/>
    </row>
    <row r="1930" spans="13:17" ht="12.75">
      <c r="M1930" s="47"/>
      <c r="Q1930" s="47"/>
    </row>
    <row r="1931" spans="13:17" ht="12.75">
      <c r="M1931" s="47"/>
      <c r="Q1931" s="47"/>
    </row>
    <row r="1932" spans="13:17" ht="12.75">
      <c r="M1932" s="47"/>
      <c r="Q1932" s="47"/>
    </row>
    <row r="1933" spans="13:17" ht="12.75">
      <c r="M1933" s="47"/>
      <c r="Q1933" s="47"/>
    </row>
    <row r="1934" spans="13:17" ht="12.75">
      <c r="M1934" s="47"/>
      <c r="Q1934" s="47"/>
    </row>
    <row r="1935" spans="13:17" ht="12.75">
      <c r="M1935" s="47"/>
      <c r="Q1935" s="47"/>
    </row>
    <row r="1936" spans="13:17" ht="12.75">
      <c r="M1936" s="47"/>
      <c r="Q1936" s="47"/>
    </row>
    <row r="1937" spans="13:17" ht="12.75">
      <c r="M1937" s="47"/>
      <c r="Q1937" s="47"/>
    </row>
    <row r="1938" spans="13:17" ht="12.75">
      <c r="M1938" s="47"/>
      <c r="Q1938" s="47"/>
    </row>
    <row r="1939" spans="13:17" ht="12.75">
      <c r="M1939" s="47"/>
      <c r="Q1939" s="47"/>
    </row>
    <row r="1940" spans="13:17" ht="12.75">
      <c r="M1940" s="47"/>
      <c r="Q1940" s="47"/>
    </row>
    <row r="1941" spans="13:17" ht="12.75">
      <c r="M1941" s="47"/>
      <c r="Q1941" s="47"/>
    </row>
    <row r="1942" spans="13:17" ht="12.75">
      <c r="M1942" s="47"/>
      <c r="Q1942" s="47"/>
    </row>
    <row r="1943" spans="13:17" ht="12.75">
      <c r="M1943" s="47"/>
      <c r="Q1943" s="47"/>
    </row>
    <row r="1944" spans="13:17" ht="12.75">
      <c r="M1944" s="47"/>
      <c r="Q1944" s="47"/>
    </row>
    <row r="1945" spans="13:17" ht="12.75">
      <c r="M1945" s="47"/>
      <c r="Q1945" s="47"/>
    </row>
    <row r="1946" spans="13:17" ht="12.75">
      <c r="M1946" s="47"/>
      <c r="Q1946" s="47"/>
    </row>
    <row r="1947" spans="13:17" ht="12.75">
      <c r="M1947" s="47"/>
      <c r="Q1947" s="47"/>
    </row>
    <row r="1948" spans="13:17" ht="12.75">
      <c r="M1948" s="47"/>
      <c r="Q1948" s="47"/>
    </row>
    <row r="1949" spans="13:17" ht="12.75">
      <c r="M1949" s="47"/>
      <c r="Q1949" s="47"/>
    </row>
    <row r="1950" spans="13:17" ht="12.75">
      <c r="M1950" s="47"/>
      <c r="Q1950" s="47"/>
    </row>
    <row r="1951" spans="13:17" ht="12.75">
      <c r="M1951" s="47"/>
      <c r="Q1951" s="47"/>
    </row>
    <row r="1952" spans="13:17" ht="12.75">
      <c r="M1952" s="47"/>
      <c r="Q1952" s="47"/>
    </row>
    <row r="1953" spans="13:17" ht="12.75">
      <c r="M1953" s="47"/>
      <c r="Q1953" s="47"/>
    </row>
    <row r="1954" spans="13:17" ht="12.75">
      <c r="M1954" s="47"/>
      <c r="Q1954" s="47"/>
    </row>
    <row r="1955" spans="13:17" ht="12.75">
      <c r="M1955" s="47"/>
      <c r="Q1955" s="47"/>
    </row>
    <row r="1956" spans="13:17" ht="12.75">
      <c r="M1956" s="47"/>
      <c r="Q1956" s="47"/>
    </row>
    <row r="1957" spans="13:17" ht="12.75">
      <c r="M1957" s="47"/>
      <c r="Q1957" s="47"/>
    </row>
    <row r="1958" spans="13:17" ht="12.75">
      <c r="M1958" s="47"/>
      <c r="Q1958" s="47"/>
    </row>
    <row r="1959" spans="13:17" ht="12.75">
      <c r="M1959" s="47"/>
      <c r="Q1959" s="47"/>
    </row>
    <row r="1960" spans="13:17" ht="12.75">
      <c r="M1960" s="47"/>
      <c r="Q1960" s="47"/>
    </row>
    <row r="1961" spans="13:17" ht="12.75">
      <c r="M1961" s="47"/>
      <c r="Q1961" s="47"/>
    </row>
    <row r="1962" spans="13:17" ht="12.75">
      <c r="M1962" s="47"/>
      <c r="Q1962" s="47"/>
    </row>
    <row r="1963" spans="13:17" ht="12.75">
      <c r="M1963" s="47"/>
      <c r="Q1963" s="47"/>
    </row>
    <row r="1964" spans="13:17" ht="12.75">
      <c r="M1964" s="47"/>
      <c r="Q1964" s="47"/>
    </row>
    <row r="1965" spans="13:17" ht="12.75">
      <c r="M1965" s="47"/>
      <c r="Q1965" s="47"/>
    </row>
    <row r="1966" spans="13:17" ht="12.75">
      <c r="M1966" s="47"/>
      <c r="Q1966" s="47"/>
    </row>
    <row r="1967" spans="13:17" ht="12.75">
      <c r="M1967" s="47"/>
      <c r="Q1967" s="47"/>
    </row>
    <row r="1968" spans="13:17" ht="12.75">
      <c r="M1968" s="47"/>
      <c r="Q1968" s="47"/>
    </row>
    <row r="1969" spans="13:17" ht="12.75">
      <c r="M1969" s="47"/>
      <c r="Q1969" s="47"/>
    </row>
    <row r="1970" spans="13:17" ht="12.75">
      <c r="M1970" s="47"/>
      <c r="Q1970" s="47"/>
    </row>
    <row r="1971" spans="13:17" ht="12.75">
      <c r="M1971" s="47"/>
      <c r="Q1971" s="47"/>
    </row>
    <row r="1972" spans="13:17" ht="12.75">
      <c r="M1972" s="47"/>
      <c r="Q1972" s="47"/>
    </row>
    <row r="1973" spans="13:17" ht="12.75">
      <c r="M1973" s="47"/>
      <c r="Q1973" s="47"/>
    </row>
    <row r="1974" spans="13:17" ht="12.75">
      <c r="M1974" s="47"/>
      <c r="Q1974" s="47"/>
    </row>
    <row r="1975" spans="13:17" ht="12.75">
      <c r="M1975" s="47"/>
      <c r="Q1975" s="47"/>
    </row>
    <row r="1976" spans="13:17" ht="12.75">
      <c r="M1976" s="47"/>
      <c r="Q1976" s="47"/>
    </row>
    <row r="1977" spans="13:17" ht="12.75">
      <c r="M1977" s="47"/>
      <c r="Q1977" s="47"/>
    </row>
    <row r="1978" spans="13:17" ht="12.75">
      <c r="M1978" s="47"/>
      <c r="Q1978" s="47"/>
    </row>
    <row r="1979" spans="13:17" ht="12.75">
      <c r="M1979" s="47"/>
      <c r="Q1979" s="47"/>
    </row>
    <row r="1980" spans="13:17" ht="12.75">
      <c r="M1980" s="47"/>
      <c r="Q1980" s="47"/>
    </row>
    <row r="1981" spans="13:17" ht="12.75">
      <c r="M1981" s="47"/>
      <c r="Q1981" s="47"/>
    </row>
    <row r="1982" spans="13:17" ht="12.75">
      <c r="M1982" s="47"/>
      <c r="Q1982" s="47"/>
    </row>
    <row r="1983" spans="13:17" ht="12.75">
      <c r="M1983" s="47"/>
      <c r="Q1983" s="47"/>
    </row>
    <row r="1984" spans="13:17" ht="12.75">
      <c r="M1984" s="47"/>
      <c r="Q1984" s="47"/>
    </row>
    <row r="1985" spans="13:17" ht="12.75">
      <c r="M1985" s="47"/>
      <c r="Q1985" s="47"/>
    </row>
    <row r="1986" spans="13:17" ht="12.75">
      <c r="M1986" s="47"/>
      <c r="Q1986" s="47"/>
    </row>
    <row r="1987" spans="13:17" ht="12.75">
      <c r="M1987" s="47"/>
      <c r="Q1987" s="47"/>
    </row>
    <row r="1988" spans="13:17" ht="12.75">
      <c r="M1988" s="47"/>
      <c r="Q1988" s="47"/>
    </row>
    <row r="1989" spans="13:17" ht="12.75">
      <c r="M1989" s="47"/>
      <c r="Q1989" s="47"/>
    </row>
    <row r="1990" spans="13:17" ht="12.75">
      <c r="M1990" s="47"/>
      <c r="Q1990" s="47"/>
    </row>
    <row r="1991" spans="13:17" ht="12.75">
      <c r="M1991" s="47"/>
      <c r="Q1991" s="47"/>
    </row>
    <row r="1992" spans="13:17" ht="12.75">
      <c r="M1992" s="47"/>
      <c r="Q1992" s="47"/>
    </row>
    <row r="1993" spans="13:17" ht="12.75">
      <c r="M1993" s="47"/>
      <c r="Q1993" s="47"/>
    </row>
    <row r="1994" spans="13:17" ht="12.75">
      <c r="M1994" s="47"/>
      <c r="Q1994" s="47"/>
    </row>
    <row r="1995" spans="13:17" ht="12.75">
      <c r="M1995" s="47"/>
      <c r="Q1995" s="47"/>
    </row>
    <row r="1996" spans="13:17" ht="12.75">
      <c r="M1996" s="47"/>
      <c r="Q1996" s="47"/>
    </row>
    <row r="1997" spans="13:17" ht="12.75">
      <c r="M1997" s="47"/>
      <c r="Q1997" s="47"/>
    </row>
    <row r="1998" spans="13:17" ht="12.75">
      <c r="M1998" s="47"/>
      <c r="Q1998" s="47"/>
    </row>
    <row r="1999" spans="13:17" ht="12.75">
      <c r="M1999" s="47"/>
      <c r="Q1999" s="47"/>
    </row>
    <row r="2000" spans="13:17" ht="12.75">
      <c r="M2000" s="47"/>
      <c r="Q2000" s="47"/>
    </row>
    <row r="2001" spans="13:17" ht="12.75">
      <c r="M2001" s="47"/>
      <c r="Q2001" s="47"/>
    </row>
    <row r="2002" spans="13:17" ht="12.75">
      <c r="M2002" s="47"/>
      <c r="Q2002" s="47"/>
    </row>
    <row r="2003" spans="13:17" ht="12.75">
      <c r="M2003" s="47"/>
      <c r="Q2003" s="47"/>
    </row>
    <row r="2004" spans="13:17" ht="12.75">
      <c r="M2004" s="47"/>
      <c r="Q2004" s="47"/>
    </row>
    <row r="2005" spans="13:17" ht="12.75">
      <c r="M2005" s="47"/>
      <c r="Q2005" s="47"/>
    </row>
    <row r="2006" spans="13:17" ht="12.75">
      <c r="M2006" s="47"/>
      <c r="Q2006" s="47"/>
    </row>
    <row r="2007" spans="13:17" ht="12.75">
      <c r="M2007" s="47"/>
      <c r="Q2007" s="47"/>
    </row>
    <row r="2008" spans="13:17" ht="12.75">
      <c r="M2008" s="47"/>
      <c r="Q2008" s="47"/>
    </row>
    <row r="2009" spans="13:17" ht="12.75">
      <c r="M2009" s="47"/>
      <c r="Q2009" s="47"/>
    </row>
    <row r="2010" spans="13:17" ht="12.75">
      <c r="M2010" s="47"/>
      <c r="Q2010" s="47"/>
    </row>
    <row r="2011" spans="13:17" ht="12.75">
      <c r="M2011" s="47"/>
      <c r="Q2011" s="47"/>
    </row>
    <row r="2012" spans="13:17" ht="12.75">
      <c r="M2012" s="47"/>
      <c r="Q2012" s="47"/>
    </row>
    <row r="2013" spans="13:17" ht="12.75">
      <c r="M2013" s="47"/>
      <c r="Q2013" s="47"/>
    </row>
    <row r="2014" spans="13:17" ht="12.75">
      <c r="M2014" s="47"/>
      <c r="Q2014" s="47"/>
    </row>
    <row r="2015" spans="13:17" ht="12.75">
      <c r="M2015" s="47"/>
      <c r="Q2015" s="47"/>
    </row>
    <row r="2016" spans="13:17" ht="12.75">
      <c r="M2016" s="47"/>
      <c r="Q2016" s="47"/>
    </row>
    <row r="2017" spans="13:17" ht="12.75">
      <c r="M2017" s="47"/>
      <c r="Q2017" s="47"/>
    </row>
    <row r="2018" spans="13:17" ht="12.75">
      <c r="M2018" s="47"/>
      <c r="Q2018" s="47"/>
    </row>
    <row r="2019" spans="13:17" ht="12.75">
      <c r="M2019" s="47"/>
      <c r="Q2019" s="47"/>
    </row>
    <row r="2020" spans="13:17" ht="12.75">
      <c r="M2020" s="47"/>
      <c r="Q2020" s="47"/>
    </row>
    <row r="2021" spans="13:17" ht="12.75">
      <c r="M2021" s="47"/>
      <c r="Q2021" s="47"/>
    </row>
    <row r="2022" spans="13:17" ht="12.75">
      <c r="M2022" s="47"/>
      <c r="Q2022" s="47"/>
    </row>
    <row r="2023" spans="13:17" ht="12.75">
      <c r="M2023" s="47"/>
      <c r="Q2023" s="47"/>
    </row>
    <row r="2024" spans="13:17" ht="12.75">
      <c r="M2024" s="47"/>
      <c r="Q2024" s="47"/>
    </row>
    <row r="2025" spans="13:17" ht="12.75">
      <c r="M2025" s="47"/>
      <c r="Q2025" s="47"/>
    </row>
    <row r="2026" spans="13:17" ht="12.75">
      <c r="M2026" s="47"/>
      <c r="Q2026" s="47"/>
    </row>
    <row r="2027" spans="13:17" ht="12.75">
      <c r="M2027" s="47"/>
      <c r="Q2027" s="47"/>
    </row>
    <row r="2028" spans="13:17" ht="12.75">
      <c r="M2028" s="47"/>
      <c r="Q2028" s="47"/>
    </row>
    <row r="2029" spans="13:17" ht="12.75">
      <c r="M2029" s="47"/>
      <c r="Q2029" s="47"/>
    </row>
    <row r="2030" spans="13:17" ht="12.75">
      <c r="M2030" s="47"/>
      <c r="Q2030" s="47"/>
    </row>
    <row r="2031" spans="13:17" ht="12.75">
      <c r="M2031" s="47"/>
      <c r="Q2031" s="47"/>
    </row>
    <row r="2032" spans="13:17" ht="12.75">
      <c r="M2032" s="47"/>
      <c r="Q2032" s="47"/>
    </row>
    <row r="2033" spans="13:17" ht="12.75">
      <c r="M2033" s="47"/>
      <c r="Q2033" s="47"/>
    </row>
    <row r="2034" spans="13:17" ht="12.75">
      <c r="M2034" s="47"/>
      <c r="Q2034" s="47"/>
    </row>
    <row r="2035" spans="13:17" ht="12.75">
      <c r="M2035" s="47"/>
      <c r="Q2035" s="47"/>
    </row>
    <row r="2036" spans="13:17" ht="12.75">
      <c r="M2036" s="47"/>
      <c r="Q2036" s="47"/>
    </row>
    <row r="2037" spans="13:17" ht="12.75">
      <c r="M2037" s="47"/>
      <c r="Q2037" s="47"/>
    </row>
    <row r="2038" spans="13:17" ht="12.75">
      <c r="M2038" s="47"/>
      <c r="Q2038" s="47"/>
    </row>
    <row r="2039" spans="13:17" ht="12.75">
      <c r="M2039" s="47"/>
      <c r="Q2039" s="47"/>
    </row>
    <row r="2040" spans="13:17" ht="12.75">
      <c r="M2040" s="47"/>
      <c r="Q2040" s="47"/>
    </row>
    <row r="2041" spans="13:17" ht="12.75">
      <c r="M2041" s="47"/>
      <c r="Q2041" s="47"/>
    </row>
    <row r="2042" spans="13:17" ht="12.75">
      <c r="M2042" s="47"/>
      <c r="Q2042" s="47"/>
    </row>
    <row r="2043" spans="13:17" ht="12.75">
      <c r="M2043" s="47"/>
      <c r="Q2043" s="47"/>
    </row>
    <row r="2044" spans="13:17" ht="12.75">
      <c r="M2044" s="47"/>
      <c r="Q2044" s="47"/>
    </row>
    <row r="2045" spans="13:17" ht="12.75">
      <c r="M2045" s="47"/>
      <c r="Q2045" s="47"/>
    </row>
    <row r="2046" spans="13:17" ht="12.75">
      <c r="M2046" s="47"/>
      <c r="Q2046" s="47"/>
    </row>
    <row r="2047" spans="13:17" ht="12.75">
      <c r="M2047" s="47"/>
      <c r="Q2047" s="47"/>
    </row>
    <row r="2048" spans="13:17" ht="12.75">
      <c r="M2048" s="47"/>
      <c r="Q2048" s="47"/>
    </row>
    <row r="2049" spans="13:17" ht="12.75">
      <c r="M2049" s="47"/>
      <c r="Q2049" s="47"/>
    </row>
    <row r="2050" spans="13:17" ht="12.75">
      <c r="M2050" s="47"/>
      <c r="Q2050" s="47"/>
    </row>
    <row r="2051" spans="13:17" ht="12.75">
      <c r="M2051" s="47"/>
      <c r="Q2051" s="47"/>
    </row>
    <row r="2052" spans="13:17" ht="12.75">
      <c r="M2052" s="47"/>
      <c r="Q2052" s="47"/>
    </row>
    <row r="2053" spans="13:17" ht="12.75">
      <c r="M2053" s="47"/>
      <c r="Q2053" s="47"/>
    </row>
    <row r="2054" spans="13:17" ht="12.75">
      <c r="M2054" s="47"/>
      <c r="Q2054" s="47"/>
    </row>
    <row r="2055" spans="13:17" ht="12.75">
      <c r="M2055" s="47"/>
      <c r="Q2055" s="47"/>
    </row>
    <row r="2056" spans="13:17" ht="12.75">
      <c r="M2056" s="47"/>
      <c r="Q2056" s="47"/>
    </row>
    <row r="2057" spans="13:17" ht="12.75">
      <c r="M2057" s="47"/>
      <c r="Q2057" s="47"/>
    </row>
    <row r="2058" spans="13:17" ht="12.75">
      <c r="M2058" s="47"/>
      <c r="Q2058" s="47"/>
    </row>
    <row r="2059" spans="13:17" ht="12.75">
      <c r="M2059" s="47"/>
      <c r="Q2059" s="47"/>
    </row>
    <row r="2060" spans="13:17" ht="12.75">
      <c r="M2060" s="47"/>
      <c r="Q2060" s="47"/>
    </row>
    <row r="2061" spans="13:17" ht="12.75">
      <c r="M2061" s="47"/>
      <c r="Q2061" s="47"/>
    </row>
    <row r="2062" spans="13:17" ht="12.75">
      <c r="M2062" s="47"/>
      <c r="Q2062" s="47"/>
    </row>
    <row r="2063" spans="13:17" ht="12.75">
      <c r="M2063" s="47"/>
      <c r="Q2063" s="47"/>
    </row>
    <row r="2064" spans="13:17" ht="12.75">
      <c r="M2064" s="47"/>
      <c r="Q2064" s="47"/>
    </row>
    <row r="2065" spans="13:17" ht="12.75">
      <c r="M2065" s="47"/>
      <c r="Q2065" s="47"/>
    </row>
    <row r="2066" spans="13:17" ht="12.75">
      <c r="M2066" s="47"/>
      <c r="Q2066" s="47"/>
    </row>
    <row r="2067" spans="13:17" ht="12.75">
      <c r="M2067" s="47"/>
      <c r="Q2067" s="47"/>
    </row>
    <row r="2068" spans="13:17" ht="12.75">
      <c r="M2068" s="47"/>
      <c r="Q2068" s="47"/>
    </row>
    <row r="2069" spans="13:17" ht="12.75">
      <c r="M2069" s="47"/>
      <c r="Q2069" s="47"/>
    </row>
    <row r="2070" spans="13:17" ht="12.75">
      <c r="M2070" s="47"/>
      <c r="Q2070" s="47"/>
    </row>
    <row r="2071" spans="13:17" ht="12.75">
      <c r="M2071" s="47"/>
      <c r="Q2071" s="47"/>
    </row>
    <row r="2072" spans="13:17" ht="12.75">
      <c r="M2072" s="47"/>
      <c r="Q2072" s="47"/>
    </row>
    <row r="2073" spans="13:17" ht="12.75">
      <c r="M2073" s="47"/>
      <c r="Q2073" s="47"/>
    </row>
    <row r="2074" spans="13:17" ht="12.75">
      <c r="M2074" s="47"/>
      <c r="Q2074" s="47"/>
    </row>
    <row r="2075" spans="13:17" ht="12.75">
      <c r="M2075" s="47"/>
      <c r="Q2075" s="47"/>
    </row>
    <row r="2076" spans="13:17" ht="12.75">
      <c r="M2076" s="47"/>
      <c r="Q2076" s="47"/>
    </row>
    <row r="2077" spans="13:17" ht="12.75">
      <c r="M2077" s="47"/>
      <c r="Q2077" s="47"/>
    </row>
    <row r="2078" spans="13:17" ht="12.75">
      <c r="M2078" s="47"/>
      <c r="Q2078" s="47"/>
    </row>
    <row r="2079" spans="13:17" ht="12.75">
      <c r="M2079" s="47"/>
      <c r="Q2079" s="47"/>
    </row>
    <row r="2080" spans="13:17" ht="12.75">
      <c r="M2080" s="47"/>
      <c r="Q2080" s="47"/>
    </row>
    <row r="2081" spans="13:17" ht="12.75">
      <c r="M2081" s="47"/>
      <c r="Q2081" s="47"/>
    </row>
    <row r="2082" spans="13:17" ht="12.75">
      <c r="M2082" s="47"/>
      <c r="Q2082" s="47"/>
    </row>
    <row r="2083" spans="13:17" ht="12.75">
      <c r="M2083" s="47"/>
      <c r="Q2083" s="47"/>
    </row>
    <row r="2084" spans="13:17" ht="12.75">
      <c r="M2084" s="47"/>
      <c r="Q2084" s="47"/>
    </row>
    <row r="2085" spans="13:17" ht="12.75">
      <c r="M2085" s="47"/>
      <c r="Q2085" s="47"/>
    </row>
    <row r="2086" spans="13:17" ht="12.75">
      <c r="M2086" s="47"/>
      <c r="Q2086" s="47"/>
    </row>
    <row r="2087" spans="13:17" ht="12.75">
      <c r="M2087" s="47"/>
      <c r="Q2087" s="47"/>
    </row>
    <row r="2088" spans="13:17" ht="12.75">
      <c r="M2088" s="47"/>
      <c r="Q2088" s="47"/>
    </row>
    <row r="2089" spans="13:17" ht="12.75">
      <c r="M2089" s="47"/>
      <c r="Q2089" s="47"/>
    </row>
    <row r="2090" spans="13:17" ht="12.75">
      <c r="M2090" s="47"/>
      <c r="Q2090" s="47"/>
    </row>
    <row r="2091" spans="13:17" ht="12.75">
      <c r="M2091" s="47"/>
      <c r="Q2091" s="47"/>
    </row>
    <row r="2092" spans="13:17" ht="12.75">
      <c r="M2092" s="47"/>
      <c r="Q2092" s="47"/>
    </row>
    <row r="2093" spans="13:17" ht="12.75">
      <c r="M2093" s="47"/>
      <c r="Q2093" s="47"/>
    </row>
    <row r="2094" spans="13:17" ht="12.75">
      <c r="M2094" s="47"/>
      <c r="Q2094" s="47"/>
    </row>
    <row r="2095" spans="13:17" ht="12.75">
      <c r="M2095" s="47"/>
      <c r="Q2095" s="47"/>
    </row>
    <row r="2096" spans="13:17" ht="12.75">
      <c r="M2096" s="47"/>
      <c r="Q2096" s="47"/>
    </row>
    <row r="2097" spans="13:17" ht="12.75">
      <c r="M2097" s="47"/>
      <c r="Q2097" s="47"/>
    </row>
    <row r="2098" spans="13:17" ht="12.75">
      <c r="M2098" s="47"/>
      <c r="Q2098" s="47"/>
    </row>
    <row r="2099" spans="13:17" ht="12.75">
      <c r="M2099" s="47"/>
      <c r="Q2099" s="47"/>
    </row>
    <row r="2100" spans="13:17" ht="12.75">
      <c r="M2100" s="47"/>
      <c r="Q2100" s="47"/>
    </row>
    <row r="2101" spans="13:17" ht="12.75">
      <c r="M2101" s="47"/>
      <c r="Q2101" s="47"/>
    </row>
    <row r="2102" spans="13:17" ht="12.75">
      <c r="M2102" s="47"/>
      <c r="Q2102" s="47"/>
    </row>
    <row r="2103" spans="13:17" ht="12.75">
      <c r="M2103" s="47"/>
      <c r="Q2103" s="47"/>
    </row>
    <row r="2104" spans="13:17" ht="12.75">
      <c r="M2104" s="47"/>
      <c r="Q2104" s="47"/>
    </row>
    <row r="2105" spans="13:17" ht="12.75">
      <c r="M2105" s="47"/>
      <c r="Q2105" s="47"/>
    </row>
    <row r="2106" spans="13:17" ht="12.75">
      <c r="M2106" s="47"/>
      <c r="Q2106" s="47"/>
    </row>
    <row r="2107" spans="13:17" ht="12.75">
      <c r="M2107" s="47"/>
      <c r="Q2107" s="47"/>
    </row>
    <row r="2108" spans="13:17" ht="12.75">
      <c r="M2108" s="47"/>
      <c r="Q2108" s="47"/>
    </row>
    <row r="2109" spans="13:17" ht="12.75">
      <c r="M2109" s="47"/>
      <c r="Q2109" s="47"/>
    </row>
    <row r="2110" spans="13:17" ht="12.75">
      <c r="M2110" s="47"/>
      <c r="Q2110" s="47"/>
    </row>
    <row r="2111" spans="13:17" ht="12.75">
      <c r="M2111" s="47"/>
      <c r="Q2111" s="47"/>
    </row>
    <row r="2112" spans="13:17" ht="12.75">
      <c r="M2112" s="47"/>
      <c r="Q2112" s="47"/>
    </row>
    <row r="2113" spans="13:17" ht="12.75">
      <c r="M2113" s="47"/>
      <c r="Q2113" s="47"/>
    </row>
    <row r="2114" spans="13:17" ht="12.75">
      <c r="M2114" s="47"/>
      <c r="Q2114" s="47"/>
    </row>
    <row r="2115" spans="13:17" ht="12.75">
      <c r="M2115" s="47"/>
      <c r="Q2115" s="47"/>
    </row>
    <row r="2116" spans="13:17" ht="12.75">
      <c r="M2116" s="47"/>
      <c r="Q2116" s="47"/>
    </row>
    <row r="2117" spans="13:17" ht="12.75">
      <c r="M2117" s="47"/>
      <c r="Q2117" s="47"/>
    </row>
    <row r="2118" spans="13:17" ht="12.75">
      <c r="M2118" s="47"/>
      <c r="Q2118" s="47"/>
    </row>
    <row r="2119" spans="13:17" ht="12.75">
      <c r="M2119" s="47"/>
      <c r="Q2119" s="47"/>
    </row>
    <row r="2120" spans="13:17" ht="12.75">
      <c r="M2120" s="47"/>
      <c r="Q2120" s="47"/>
    </row>
    <row r="2121" spans="13:17" ht="12.75">
      <c r="M2121" s="47"/>
      <c r="Q2121" s="47"/>
    </row>
    <row r="2122" spans="13:17" ht="12.75">
      <c r="M2122" s="47"/>
      <c r="Q2122" s="47"/>
    </row>
    <row r="2123" spans="13:17" ht="12.75">
      <c r="M2123" s="47"/>
      <c r="Q2123" s="47"/>
    </row>
    <row r="2124" spans="13:17" ht="12.75">
      <c r="M2124" s="47"/>
      <c r="Q2124" s="47"/>
    </row>
    <row r="2125" spans="13:17" ht="12.75">
      <c r="M2125" s="47"/>
      <c r="Q2125" s="47"/>
    </row>
    <row r="2126" spans="13:17" ht="12.75">
      <c r="M2126" s="47"/>
      <c r="Q2126" s="47"/>
    </row>
    <row r="2127" spans="13:17" ht="12.75">
      <c r="M2127" s="47"/>
      <c r="Q2127" s="47"/>
    </row>
    <row r="2128" spans="13:17" ht="12.75">
      <c r="M2128" s="47"/>
      <c r="Q2128" s="47"/>
    </row>
    <row r="2129" spans="13:17" ht="12.75">
      <c r="M2129" s="47"/>
      <c r="Q2129" s="47"/>
    </row>
    <row r="2130" spans="13:17" ht="12.75">
      <c r="M2130" s="47"/>
      <c r="Q2130" s="47"/>
    </row>
    <row r="2131" spans="13:17" ht="12.75">
      <c r="M2131" s="47"/>
      <c r="Q2131" s="47"/>
    </row>
    <row r="2132" spans="13:17" ht="12.75">
      <c r="M2132" s="47"/>
      <c r="Q2132" s="47"/>
    </row>
    <row r="2133" spans="13:17" ht="12.75">
      <c r="M2133" s="47"/>
      <c r="Q2133" s="47"/>
    </row>
    <row r="2134" spans="13:17" ht="12.75">
      <c r="M2134" s="47"/>
      <c r="Q2134" s="47"/>
    </row>
    <row r="2135" spans="13:17" ht="12.75">
      <c r="M2135" s="47"/>
      <c r="Q2135" s="47"/>
    </row>
    <row r="2136" spans="13:17" ht="12.75">
      <c r="M2136" s="47"/>
      <c r="Q2136" s="47"/>
    </row>
    <row r="2137" spans="13:17" ht="12.75">
      <c r="M2137" s="47"/>
      <c r="Q2137" s="47"/>
    </row>
    <row r="2138" spans="13:17" ht="12.75">
      <c r="M2138" s="47"/>
      <c r="Q2138" s="47"/>
    </row>
    <row r="2139" spans="13:17" ht="12.75">
      <c r="M2139" s="47"/>
      <c r="Q2139" s="47"/>
    </row>
    <row r="2140" spans="13:17" ht="12.75">
      <c r="M2140" s="47"/>
      <c r="Q2140" s="47"/>
    </row>
    <row r="2141" spans="13:17" ht="12.75">
      <c r="M2141" s="47"/>
      <c r="Q2141" s="47"/>
    </row>
    <row r="2142" spans="13:17" ht="12.75">
      <c r="M2142" s="47"/>
      <c r="Q2142" s="47"/>
    </row>
    <row r="2143" spans="13:17" ht="12.75">
      <c r="M2143" s="47"/>
      <c r="Q2143" s="47"/>
    </row>
    <row r="2144" spans="13:17" ht="12.75">
      <c r="M2144" s="47"/>
      <c r="Q2144" s="47"/>
    </row>
    <row r="2145" spans="13:17" ht="12.75">
      <c r="M2145" s="47"/>
      <c r="Q2145" s="47"/>
    </row>
    <row r="2146" spans="13:17" ht="12.75">
      <c r="M2146" s="47"/>
      <c r="Q2146" s="47"/>
    </row>
    <row r="2147" spans="13:17" ht="12.75">
      <c r="M2147" s="47"/>
      <c r="Q2147" s="47"/>
    </row>
    <row r="2148" spans="13:17" ht="12.75">
      <c r="M2148" s="47"/>
      <c r="Q2148" s="47"/>
    </row>
    <row r="2149" spans="13:17" ht="12.75">
      <c r="M2149" s="47"/>
      <c r="Q2149" s="47"/>
    </row>
    <row r="2150" spans="13:17" ht="12.75">
      <c r="M2150" s="47"/>
      <c r="Q2150" s="47"/>
    </row>
    <row r="2151" spans="13:17" ht="12.75">
      <c r="M2151" s="47"/>
      <c r="Q2151" s="47"/>
    </row>
    <row r="2152" spans="13:17" ht="12.75">
      <c r="M2152" s="47"/>
      <c r="Q2152" s="47"/>
    </row>
    <row r="2153" spans="13:17" ht="12.75">
      <c r="M2153" s="47"/>
      <c r="Q2153" s="47"/>
    </row>
    <row r="2154" spans="13:17" ht="12.75">
      <c r="M2154" s="47"/>
      <c r="Q2154" s="47"/>
    </row>
    <row r="2155" spans="13:17" ht="12.75">
      <c r="M2155" s="47"/>
      <c r="Q2155" s="47"/>
    </row>
    <row r="2156" spans="13:17" ht="12.75">
      <c r="M2156" s="47"/>
      <c r="Q2156" s="47"/>
    </row>
    <row r="2157" spans="13:17" ht="12.75">
      <c r="M2157" s="47"/>
      <c r="Q2157" s="47"/>
    </row>
    <row r="2158" spans="13:17" ht="12.75">
      <c r="M2158" s="47"/>
      <c r="Q2158" s="47"/>
    </row>
    <row r="2159" spans="13:17" ht="12.75">
      <c r="M2159" s="47"/>
      <c r="Q2159" s="47"/>
    </row>
    <row r="2160" spans="13:17" ht="12.75">
      <c r="M2160" s="47"/>
      <c r="Q2160" s="47"/>
    </row>
    <row r="2161" spans="13:17" ht="12.75">
      <c r="M2161" s="47"/>
      <c r="Q2161" s="47"/>
    </row>
    <row r="2162" spans="13:17" ht="12.75">
      <c r="M2162" s="47"/>
      <c r="Q2162" s="47"/>
    </row>
    <row r="2163" spans="13:17" ht="12.75">
      <c r="M2163" s="47"/>
      <c r="Q2163" s="47"/>
    </row>
    <row r="2164" spans="13:17" ht="12.75">
      <c r="M2164" s="47"/>
      <c r="Q2164" s="47"/>
    </row>
    <row r="2165" spans="13:17" ht="12.75">
      <c r="M2165" s="47"/>
      <c r="Q2165" s="47"/>
    </row>
    <row r="2166" spans="13:17" ht="12.75">
      <c r="M2166" s="47"/>
      <c r="Q2166" s="47"/>
    </row>
    <row r="2167" spans="13:17" ht="12.75">
      <c r="M2167" s="47"/>
      <c r="Q2167" s="47"/>
    </row>
    <row r="2168" spans="13:17" ht="12.75">
      <c r="M2168" s="47"/>
      <c r="Q2168" s="47"/>
    </row>
    <row r="2169" spans="13:17" ht="12.75">
      <c r="M2169" s="47"/>
      <c r="Q2169" s="47"/>
    </row>
    <row r="2170" spans="13:17" ht="12.75">
      <c r="M2170" s="47"/>
      <c r="Q2170" s="47"/>
    </row>
    <row r="2171" spans="13:17" ht="12.75">
      <c r="M2171" s="47"/>
      <c r="Q2171" s="47"/>
    </row>
    <row r="2172" spans="13:17" ht="12.75">
      <c r="M2172" s="47"/>
      <c r="Q2172" s="47"/>
    </row>
    <row r="2173" spans="13:17" ht="12.75">
      <c r="M2173" s="47"/>
      <c r="Q2173" s="47"/>
    </row>
    <row r="2174" spans="13:17" ht="12.75">
      <c r="M2174" s="47"/>
      <c r="Q2174" s="47"/>
    </row>
    <row r="2175" spans="13:17" ht="12.75">
      <c r="M2175" s="47"/>
      <c r="Q2175" s="47"/>
    </row>
    <row r="2176" spans="13:17" ht="12.75">
      <c r="M2176" s="47"/>
      <c r="Q2176" s="47"/>
    </row>
    <row r="2177" spans="13:17" ht="12.75">
      <c r="M2177" s="47"/>
      <c r="Q2177" s="47"/>
    </row>
    <row r="2178" spans="13:17" ht="12.75">
      <c r="M2178" s="47"/>
      <c r="Q2178" s="47"/>
    </row>
    <row r="2179" spans="13:17" ht="12.75">
      <c r="M2179" s="47"/>
      <c r="Q2179" s="47"/>
    </row>
    <row r="2180" spans="13:17" ht="12.75">
      <c r="M2180" s="47"/>
      <c r="Q2180" s="47"/>
    </row>
    <row r="2181" spans="13:17" ht="12.75">
      <c r="M2181" s="47"/>
      <c r="Q2181" s="47"/>
    </row>
    <row r="2182" spans="13:17" ht="12.75">
      <c r="M2182" s="47"/>
      <c r="Q2182" s="47"/>
    </row>
    <row r="2183" spans="13:17" ht="12.75">
      <c r="M2183" s="47"/>
      <c r="Q2183" s="47"/>
    </row>
    <row r="2184" spans="13:17" ht="12.75">
      <c r="M2184" s="47"/>
      <c r="Q2184" s="47"/>
    </row>
    <row r="2185" spans="13:17" ht="12.75">
      <c r="M2185" s="47"/>
      <c r="Q2185" s="47"/>
    </row>
    <row r="2186" spans="13:17" ht="12.75">
      <c r="M2186" s="47"/>
      <c r="Q2186" s="47"/>
    </row>
    <row r="2187" spans="13:17" ht="12.75">
      <c r="M2187" s="47"/>
      <c r="Q2187" s="47"/>
    </row>
    <row r="2188" spans="13:17" ht="12.75">
      <c r="M2188" s="47"/>
      <c r="Q2188" s="47"/>
    </row>
    <row r="2189" spans="13:17" ht="12.75">
      <c r="M2189" s="47"/>
      <c r="Q2189" s="47"/>
    </row>
    <row r="2190" spans="13:17" ht="12.75">
      <c r="M2190" s="47"/>
      <c r="Q2190" s="47"/>
    </row>
    <row r="2191" spans="13:17" ht="12.75">
      <c r="M2191" s="47"/>
      <c r="Q2191" s="47"/>
    </row>
    <row r="2192" spans="13:17" ht="12.75">
      <c r="M2192" s="47"/>
      <c r="Q2192" s="47"/>
    </row>
    <row r="2193" spans="13:17" ht="12.75">
      <c r="M2193" s="47"/>
      <c r="Q2193" s="47"/>
    </row>
    <row r="2194" spans="13:17" ht="12.75">
      <c r="M2194" s="47"/>
      <c r="Q2194" s="47"/>
    </row>
    <row r="2195" spans="13:17" ht="12.75">
      <c r="M2195" s="47"/>
      <c r="Q2195" s="47"/>
    </row>
    <row r="2196" spans="13:17" ht="12.75">
      <c r="M2196" s="47"/>
      <c r="Q2196" s="47"/>
    </row>
    <row r="2197" spans="13:17" ht="12.75">
      <c r="M2197" s="47"/>
      <c r="Q2197" s="47"/>
    </row>
    <row r="2198" spans="13:17" ht="12.75">
      <c r="M2198" s="47"/>
      <c r="Q2198" s="47"/>
    </row>
    <row r="2199" spans="13:17" ht="12.75">
      <c r="M2199" s="47"/>
      <c r="Q2199" s="47"/>
    </row>
    <row r="2200" spans="13:17" ht="12.75">
      <c r="M2200" s="47"/>
      <c r="Q2200" s="47"/>
    </row>
    <row r="2201" spans="13:17" ht="12.75">
      <c r="M2201" s="47"/>
      <c r="Q2201" s="47"/>
    </row>
    <row r="2202" spans="13:17" ht="12.75">
      <c r="M2202" s="47"/>
      <c r="Q2202" s="47"/>
    </row>
    <row r="2203" spans="13:17" ht="12.75">
      <c r="M2203" s="47"/>
      <c r="Q2203" s="47"/>
    </row>
    <row r="2204" spans="13:17" ht="12.75">
      <c r="M2204" s="47"/>
      <c r="Q2204" s="47"/>
    </row>
    <row r="2205" spans="13:17" ht="12.75">
      <c r="M2205" s="47"/>
      <c r="Q2205" s="47"/>
    </row>
    <row r="2206" spans="13:17" ht="12.75">
      <c r="M2206" s="47"/>
      <c r="Q2206" s="47"/>
    </row>
    <row r="2207" spans="13:17" ht="12.75">
      <c r="M2207" s="47"/>
      <c r="Q2207" s="47"/>
    </row>
    <row r="2208" spans="13:17" ht="12.75">
      <c r="M2208" s="47"/>
      <c r="Q2208" s="47"/>
    </row>
    <row r="2209" spans="13:17" ht="12.75">
      <c r="M2209" s="47"/>
      <c r="Q2209" s="47"/>
    </row>
    <row r="2210" spans="13:17" ht="12.75">
      <c r="M2210" s="47"/>
      <c r="Q2210" s="47"/>
    </row>
    <row r="2211" spans="13:17" ht="12.75">
      <c r="M2211" s="47"/>
      <c r="Q2211" s="47"/>
    </row>
    <row r="2212" spans="13:17" ht="12.75">
      <c r="M2212" s="47"/>
      <c r="Q2212" s="47"/>
    </row>
    <row r="2213" spans="13:17" ht="12.75">
      <c r="M2213" s="47"/>
      <c r="Q2213" s="47"/>
    </row>
    <row r="2214" spans="13:17" ht="12.75">
      <c r="M2214" s="47"/>
      <c r="Q2214" s="47"/>
    </row>
    <row r="2215" spans="13:17" ht="12.75">
      <c r="M2215" s="47"/>
      <c r="Q2215" s="47"/>
    </row>
    <row r="2216" spans="13:17" ht="12.75">
      <c r="M2216" s="47"/>
      <c r="Q2216" s="47"/>
    </row>
    <row r="2217" spans="13:17" ht="12.75">
      <c r="M2217" s="47"/>
      <c r="Q2217" s="47"/>
    </row>
    <row r="2218" spans="13:17" ht="12.75">
      <c r="M2218" s="47"/>
      <c r="Q2218" s="47"/>
    </row>
    <row r="2219" spans="13:17" ht="12.75">
      <c r="M2219" s="47"/>
      <c r="Q2219" s="47"/>
    </row>
    <row r="2220" spans="13:17" ht="12.75">
      <c r="M2220" s="47"/>
      <c r="Q2220" s="47"/>
    </row>
    <row r="2221" spans="13:17" ht="12.75">
      <c r="M2221" s="47"/>
      <c r="Q2221" s="47"/>
    </row>
    <row r="2222" spans="13:17" ht="12.75">
      <c r="M2222" s="47"/>
      <c r="Q2222" s="47"/>
    </row>
    <row r="2223" spans="13:17" ht="12.75">
      <c r="M2223" s="47"/>
      <c r="Q2223" s="47"/>
    </row>
    <row r="2224" spans="13:17" ht="12.75">
      <c r="M2224" s="47"/>
      <c r="Q2224" s="47"/>
    </row>
    <row r="2225" spans="13:17" ht="12.75">
      <c r="M2225" s="47"/>
      <c r="Q2225" s="47"/>
    </row>
    <row r="2226" spans="13:17" ht="12.75">
      <c r="M2226" s="47"/>
      <c r="Q2226" s="47"/>
    </row>
    <row r="2227" spans="13:17" ht="12.75">
      <c r="M2227" s="47"/>
      <c r="Q2227" s="47"/>
    </row>
    <row r="2228" spans="13:17" ht="12.75">
      <c r="M2228" s="47"/>
      <c r="Q2228" s="47"/>
    </row>
    <row r="2229" spans="13:17" ht="12.75">
      <c r="M2229" s="47"/>
      <c r="Q2229" s="47"/>
    </row>
    <row r="2230" spans="13:17" ht="12.75">
      <c r="M2230" s="47"/>
      <c r="Q2230" s="47"/>
    </row>
    <row r="2231" spans="13:17" ht="12.75">
      <c r="M2231" s="47"/>
      <c r="Q2231" s="47"/>
    </row>
    <row r="2232" spans="13:17" ht="12.75">
      <c r="M2232" s="47"/>
      <c r="Q2232" s="47"/>
    </row>
    <row r="2233" spans="13:17" ht="12.75">
      <c r="M2233" s="47"/>
      <c r="Q2233" s="47"/>
    </row>
    <row r="2234" spans="13:17" ht="12.75">
      <c r="M2234" s="47"/>
      <c r="Q2234" s="47"/>
    </row>
    <row r="2235" spans="13:17" ht="12.75">
      <c r="M2235" s="47"/>
      <c r="Q2235" s="47"/>
    </row>
    <row r="2236" spans="13:17" ht="12.75">
      <c r="M2236" s="47"/>
      <c r="Q2236" s="47"/>
    </row>
    <row r="2237" spans="13:17" ht="12.75">
      <c r="M2237" s="47"/>
      <c r="Q2237" s="47"/>
    </row>
    <row r="2238" spans="13:17" ht="12.75">
      <c r="M2238" s="47"/>
      <c r="Q2238" s="47"/>
    </row>
    <row r="2239" spans="13:17" ht="12.75">
      <c r="M2239" s="47"/>
      <c r="Q2239" s="47"/>
    </row>
    <row r="2240" spans="13:17" ht="12.75">
      <c r="M2240" s="47"/>
      <c r="Q2240" s="47"/>
    </row>
    <row r="2241" spans="13:17" ht="12.75">
      <c r="M2241" s="47"/>
      <c r="Q2241" s="47"/>
    </row>
    <row r="2242" spans="13:17" ht="12.75">
      <c r="M2242" s="47"/>
      <c r="Q2242" s="47"/>
    </row>
    <row r="2243" spans="13:17" ht="12.75">
      <c r="M2243" s="47"/>
      <c r="Q2243" s="47"/>
    </row>
    <row r="2244" spans="13:17" ht="12.75">
      <c r="M2244" s="47"/>
      <c r="Q2244" s="47"/>
    </row>
    <row r="2245" spans="13:17" ht="12.75">
      <c r="M2245" s="47"/>
      <c r="Q2245" s="47"/>
    </row>
    <row r="2246" spans="13:17" ht="12.75">
      <c r="M2246" s="47"/>
      <c r="Q2246" s="47"/>
    </row>
    <row r="2247" spans="13:17" ht="12.75">
      <c r="M2247" s="47"/>
      <c r="Q2247" s="47"/>
    </row>
    <row r="2248" spans="13:17" ht="12.75">
      <c r="M2248" s="47"/>
      <c r="Q2248" s="47"/>
    </row>
    <row r="2249" spans="13:17" ht="12.75">
      <c r="M2249" s="47"/>
      <c r="Q2249" s="47"/>
    </row>
    <row r="2250" spans="13:17" ht="12.75">
      <c r="M2250" s="47"/>
      <c r="Q2250" s="47"/>
    </row>
    <row r="2251" spans="13:17" ht="12.75">
      <c r="M2251" s="47"/>
      <c r="Q2251" s="47"/>
    </row>
    <row r="2252" spans="13:17" ht="12.75">
      <c r="M2252" s="47"/>
      <c r="Q2252" s="47"/>
    </row>
    <row r="2253" spans="13:17" ht="12.75">
      <c r="M2253" s="47"/>
      <c r="Q2253" s="47"/>
    </row>
    <row r="2254" spans="13:17" ht="12.75">
      <c r="M2254" s="47"/>
      <c r="Q2254" s="47"/>
    </row>
    <row r="2255" spans="13:17" ht="12.75">
      <c r="M2255" s="47"/>
      <c r="Q2255" s="47"/>
    </row>
    <row r="2256" spans="13:17" ht="12.75">
      <c r="M2256" s="47"/>
      <c r="Q2256" s="47"/>
    </row>
    <row r="2257" spans="13:17" ht="12.75">
      <c r="M2257" s="47"/>
      <c r="Q2257" s="47"/>
    </row>
    <row r="2258" spans="13:17" ht="12.75">
      <c r="M2258" s="47"/>
      <c r="Q2258" s="47"/>
    </row>
    <row r="2259" spans="13:17" ht="12.75">
      <c r="M2259" s="47"/>
      <c r="Q2259" s="47"/>
    </row>
    <row r="2260" spans="13:17" ht="12.75">
      <c r="M2260" s="47"/>
      <c r="Q2260" s="47"/>
    </row>
    <row r="2261" spans="13:17" ht="12.75">
      <c r="M2261" s="47"/>
      <c r="Q2261" s="47"/>
    </row>
    <row r="2262" spans="13:17" ht="12.75">
      <c r="M2262" s="47"/>
      <c r="Q2262" s="47"/>
    </row>
    <row r="2263" spans="13:17" ht="12.75">
      <c r="M2263" s="47"/>
      <c r="Q2263" s="47"/>
    </row>
    <row r="2264" spans="13:17" ht="12.75">
      <c r="M2264" s="47"/>
      <c r="Q2264" s="47"/>
    </row>
    <row r="2265" spans="13:17" ht="12.75">
      <c r="M2265" s="47"/>
      <c r="Q2265" s="47"/>
    </row>
    <row r="2266" spans="13:17" ht="12.75">
      <c r="M2266" s="47"/>
      <c r="Q2266" s="47"/>
    </row>
    <row r="2267" spans="13:17" ht="12.75">
      <c r="M2267" s="47"/>
      <c r="Q2267" s="47"/>
    </row>
    <row r="2268" spans="13:17" ht="12.75">
      <c r="M2268" s="47"/>
      <c r="Q2268" s="47"/>
    </row>
    <row r="2269" spans="13:17" ht="12.75">
      <c r="M2269" s="47"/>
      <c r="Q2269" s="47"/>
    </row>
    <row r="2270" spans="13:17" ht="12.75">
      <c r="M2270" s="47"/>
      <c r="Q2270" s="47"/>
    </row>
    <row r="2271" spans="13:17" ht="12.75">
      <c r="M2271" s="47"/>
      <c r="Q2271" s="47"/>
    </row>
    <row r="2272" spans="13:17" ht="12.75">
      <c r="M2272" s="47"/>
      <c r="Q2272" s="47"/>
    </row>
    <row r="2273" spans="13:17" ht="12.75">
      <c r="M2273" s="47"/>
      <c r="Q2273" s="47"/>
    </row>
    <row r="2274" spans="13:17" ht="12.75">
      <c r="M2274" s="47"/>
      <c r="Q2274" s="47"/>
    </row>
    <row r="2275" spans="13:17" ht="12.75">
      <c r="M2275" s="47"/>
      <c r="Q2275" s="47"/>
    </row>
    <row r="2276" spans="13:17" ht="12.75">
      <c r="M2276" s="47"/>
      <c r="Q2276" s="47"/>
    </row>
    <row r="2277" spans="13:17" ht="12.75">
      <c r="M2277" s="47"/>
      <c r="Q2277" s="47"/>
    </row>
    <row r="2278" spans="13:17" ht="12.75">
      <c r="M2278" s="47"/>
      <c r="Q2278" s="47"/>
    </row>
    <row r="2279" spans="13:17" ht="12.75">
      <c r="M2279" s="47"/>
      <c r="Q2279" s="47"/>
    </row>
    <row r="2280" spans="13:17" ht="12.75">
      <c r="M2280" s="47"/>
      <c r="Q2280" s="47"/>
    </row>
    <row r="2281" spans="13:17" ht="12.75">
      <c r="M2281" s="47"/>
      <c r="Q2281" s="47"/>
    </row>
    <row r="2282" spans="13:17" ht="12.75">
      <c r="M2282" s="47"/>
      <c r="Q2282" s="47"/>
    </row>
    <row r="2283" spans="13:17" ht="12.75">
      <c r="M2283" s="47"/>
      <c r="Q2283" s="47"/>
    </row>
    <row r="2284" spans="13:17" ht="12.75">
      <c r="M2284" s="47"/>
      <c r="Q2284" s="47"/>
    </row>
    <row r="2285" spans="13:17" ht="12.75">
      <c r="M2285" s="47"/>
      <c r="Q2285" s="47"/>
    </row>
    <row r="2286" spans="13:17" ht="12.75">
      <c r="M2286" s="47"/>
      <c r="Q2286" s="47"/>
    </row>
    <row r="2287" spans="13:17" ht="12.75">
      <c r="M2287" s="47"/>
      <c r="Q2287" s="47"/>
    </row>
    <row r="2288" spans="13:17" ht="12.75">
      <c r="M2288" s="47"/>
      <c r="Q2288" s="47"/>
    </row>
    <row r="2289" spans="13:17" ht="12.75">
      <c r="M2289" s="47"/>
      <c r="Q2289" s="47"/>
    </row>
    <row r="2290" spans="13:17" ht="12.75">
      <c r="M2290" s="47"/>
      <c r="Q2290" s="47"/>
    </row>
    <row r="2291" spans="13:17" ht="12.75">
      <c r="M2291" s="47"/>
      <c r="Q2291" s="47"/>
    </row>
    <row r="2292" spans="13:17" ht="12.75">
      <c r="M2292" s="47"/>
      <c r="Q2292" s="47"/>
    </row>
    <row r="2293" spans="13:17" ht="12.75">
      <c r="M2293" s="47"/>
      <c r="Q2293" s="47"/>
    </row>
    <row r="2294" spans="13:17" ht="12.75">
      <c r="M2294" s="47"/>
      <c r="Q2294" s="47"/>
    </row>
    <row r="2295" spans="13:17" ht="12.75">
      <c r="M2295" s="47"/>
      <c r="Q2295" s="47"/>
    </row>
    <row r="2296" spans="13:17" ht="12.75">
      <c r="M2296" s="47"/>
      <c r="Q2296" s="47"/>
    </row>
    <row r="2297" spans="13:17" ht="12.75">
      <c r="M2297" s="47"/>
      <c r="Q2297" s="47"/>
    </row>
    <row r="2298" spans="13:17" ht="12.75">
      <c r="M2298" s="47"/>
      <c r="Q2298" s="47"/>
    </row>
    <row r="2299" spans="13:17" ht="12.75">
      <c r="M2299" s="47"/>
      <c r="Q2299" s="47"/>
    </row>
    <row r="2300" spans="13:17" ht="12.75">
      <c r="M2300" s="47"/>
      <c r="Q2300" s="47"/>
    </row>
    <row r="2301" spans="13:17" ht="12.75">
      <c r="M2301" s="47"/>
      <c r="Q2301" s="47"/>
    </row>
    <row r="2302" spans="13:17" ht="12.75">
      <c r="M2302" s="47"/>
      <c r="Q2302" s="47"/>
    </row>
    <row r="2303" spans="13:17" ht="12.75">
      <c r="M2303" s="47"/>
      <c r="Q2303" s="47"/>
    </row>
    <row r="2304" spans="13:17" ht="12.75">
      <c r="M2304" s="47"/>
      <c r="Q2304" s="47"/>
    </row>
    <row r="2305" spans="13:17" ht="12.75">
      <c r="M2305" s="47"/>
      <c r="Q2305" s="47"/>
    </row>
    <row r="2306" spans="13:17" ht="12.75">
      <c r="M2306" s="47"/>
      <c r="Q2306" s="47"/>
    </row>
    <row r="2307" spans="13:17" ht="12.75">
      <c r="M2307" s="47"/>
      <c r="Q2307" s="47"/>
    </row>
    <row r="2308" spans="13:17" ht="12.75">
      <c r="M2308" s="47"/>
      <c r="Q2308" s="47"/>
    </row>
    <row r="2309" spans="13:17" ht="12.75">
      <c r="M2309" s="47"/>
      <c r="Q2309" s="47"/>
    </row>
    <row r="2310" spans="13:17" ht="12.75">
      <c r="M2310" s="47"/>
      <c r="Q2310" s="47"/>
    </row>
    <row r="2311" spans="13:17" ht="12.75">
      <c r="M2311" s="47"/>
      <c r="Q2311" s="47"/>
    </row>
    <row r="2312" spans="13:17" ht="12.75">
      <c r="M2312" s="47"/>
      <c r="Q2312" s="47"/>
    </row>
    <row r="2313" spans="13:17" ht="12.75">
      <c r="M2313" s="47"/>
      <c r="Q2313" s="47"/>
    </row>
    <row r="2314" spans="13:17" ht="12.75">
      <c r="M2314" s="47"/>
      <c r="Q2314" s="47"/>
    </row>
    <row r="2315" spans="13:17" ht="12.75">
      <c r="M2315" s="47"/>
      <c r="Q2315" s="47"/>
    </row>
    <row r="2316" spans="13:17" ht="12.75">
      <c r="M2316" s="47"/>
      <c r="Q2316" s="47"/>
    </row>
    <row r="2317" spans="13:17" ht="12.75">
      <c r="M2317" s="47"/>
      <c r="Q2317" s="47"/>
    </row>
    <row r="2318" spans="13:17" ht="12.75">
      <c r="M2318" s="47"/>
      <c r="Q2318" s="47"/>
    </row>
    <row r="2319" spans="13:17" ht="12.75">
      <c r="M2319" s="47"/>
      <c r="Q2319" s="47"/>
    </row>
    <row r="2320" spans="13:17" ht="12.75">
      <c r="M2320" s="47"/>
      <c r="Q2320" s="47"/>
    </row>
    <row r="2321" spans="13:17" ht="12.75">
      <c r="M2321" s="47"/>
      <c r="Q2321" s="47"/>
    </row>
    <row r="2322" spans="13:17" ht="12.75">
      <c r="M2322" s="47"/>
      <c r="Q2322" s="47"/>
    </row>
    <row r="2323" spans="13:17" ht="12.75">
      <c r="M2323" s="47"/>
      <c r="Q2323" s="47"/>
    </row>
    <row r="2324" spans="13:17" ht="12.75">
      <c r="M2324" s="47"/>
      <c r="Q2324" s="47"/>
    </row>
    <row r="2325" spans="13:17" ht="12.75">
      <c r="M2325" s="47"/>
      <c r="Q2325" s="47"/>
    </row>
    <row r="2326" spans="13:17" ht="12.75">
      <c r="M2326" s="47"/>
      <c r="Q2326" s="47"/>
    </row>
    <row r="2327" spans="13:17" ht="12.75">
      <c r="M2327" s="47"/>
      <c r="Q2327" s="47"/>
    </row>
    <row r="2328" spans="13:17" ht="12.75">
      <c r="M2328" s="47"/>
      <c r="Q2328" s="47"/>
    </row>
    <row r="2329" spans="13:17" ht="12.75">
      <c r="M2329" s="47"/>
      <c r="Q2329" s="47"/>
    </row>
    <row r="2330" spans="13:17" ht="12.75">
      <c r="M2330" s="47"/>
      <c r="Q2330" s="47"/>
    </row>
    <row r="2331" spans="13:17" ht="12.75">
      <c r="M2331" s="47"/>
      <c r="Q2331" s="47"/>
    </row>
    <row r="2332" spans="13:17" ht="12.75">
      <c r="M2332" s="47"/>
      <c r="Q2332" s="47"/>
    </row>
    <row r="2333" spans="13:17" ht="12.75">
      <c r="M2333" s="47"/>
      <c r="Q2333" s="47"/>
    </row>
    <row r="2334" spans="13:17" ht="12.75">
      <c r="M2334" s="47"/>
      <c r="Q2334" s="47"/>
    </row>
    <row r="2335" spans="13:17" ht="12.75">
      <c r="M2335" s="47"/>
      <c r="Q2335" s="47"/>
    </row>
    <row r="2336" spans="13:17" ht="12.75">
      <c r="M2336" s="47"/>
      <c r="Q2336" s="47"/>
    </row>
    <row r="2337" spans="13:17" ht="12.75">
      <c r="M2337" s="47"/>
      <c r="Q2337" s="47"/>
    </row>
    <row r="2338" spans="13:17" ht="12.75">
      <c r="M2338" s="47"/>
      <c r="Q2338" s="47"/>
    </row>
    <row r="2339" spans="13:17" ht="12.75">
      <c r="M2339" s="47"/>
      <c r="Q2339" s="47"/>
    </row>
    <row r="2340" spans="13:17" ht="12.75">
      <c r="M2340" s="47"/>
      <c r="Q2340" s="47"/>
    </row>
    <row r="2341" spans="13:17" ht="12.75">
      <c r="M2341" s="47"/>
      <c r="Q2341" s="47"/>
    </row>
    <row r="2342" spans="13:17" ht="12.75">
      <c r="M2342" s="47"/>
      <c r="Q2342" s="47"/>
    </row>
    <row r="2343" spans="13:17" ht="12.75">
      <c r="M2343" s="47"/>
      <c r="Q2343" s="47"/>
    </row>
    <row r="2344" spans="13:17" ht="12.75">
      <c r="M2344" s="47"/>
      <c r="Q2344" s="47"/>
    </row>
    <row r="2345" spans="13:17" ht="12.75">
      <c r="M2345" s="47"/>
      <c r="Q2345" s="47"/>
    </row>
    <row r="2346" spans="13:17" ht="12.75">
      <c r="M2346" s="47"/>
      <c r="Q2346" s="47"/>
    </row>
    <row r="2347" spans="13:17" ht="12.75">
      <c r="M2347" s="47"/>
      <c r="Q2347" s="47"/>
    </row>
    <row r="2348" spans="13:17" ht="12.75">
      <c r="M2348" s="47"/>
      <c r="Q2348" s="47"/>
    </row>
    <row r="2349" spans="13:17" ht="12.75">
      <c r="M2349" s="47"/>
      <c r="Q2349" s="47"/>
    </row>
    <row r="2350" spans="13:17" ht="12.75">
      <c r="M2350" s="47"/>
      <c r="Q2350" s="47"/>
    </row>
    <row r="2351" spans="13:17" ht="12.75">
      <c r="M2351" s="47"/>
      <c r="Q2351" s="47"/>
    </row>
    <row r="2352" spans="13:17" ht="12.75">
      <c r="M2352" s="47"/>
      <c r="Q2352" s="47"/>
    </row>
    <row r="2353" spans="13:17" ht="12.75">
      <c r="M2353" s="47"/>
      <c r="Q2353" s="47"/>
    </row>
    <row r="2354" spans="13:17" ht="12.75">
      <c r="M2354" s="47"/>
      <c r="Q2354" s="47"/>
    </row>
    <row r="2355" spans="13:17" ht="12.75">
      <c r="M2355" s="47"/>
      <c r="Q2355" s="47"/>
    </row>
    <row r="2356" spans="13:17" ht="12.75">
      <c r="M2356" s="47"/>
      <c r="Q2356" s="47"/>
    </row>
    <row r="2357" spans="13:17" ht="12.75">
      <c r="M2357" s="47"/>
      <c r="Q2357" s="47"/>
    </row>
    <row r="2358" spans="13:17" ht="12.75">
      <c r="M2358" s="47"/>
      <c r="Q2358" s="47"/>
    </row>
    <row r="2359" spans="13:17" ht="12.75">
      <c r="M2359" s="47"/>
      <c r="Q2359" s="47"/>
    </row>
    <row r="2360" spans="13:17" ht="12.75">
      <c r="M2360" s="47"/>
      <c r="Q2360" s="47"/>
    </row>
    <row r="2361" spans="13:17" ht="12.75">
      <c r="M2361" s="47"/>
      <c r="Q2361" s="47"/>
    </row>
    <row r="2362" spans="13:17" ht="12.75">
      <c r="M2362" s="47"/>
      <c r="Q2362" s="47"/>
    </row>
    <row r="2363" spans="13:17" ht="12.75">
      <c r="M2363" s="47"/>
      <c r="Q2363" s="47"/>
    </row>
    <row r="2364" spans="13:17" ht="12.75">
      <c r="M2364" s="47"/>
      <c r="Q2364" s="47"/>
    </row>
    <row r="2365" spans="13:17" ht="12.75">
      <c r="M2365" s="47"/>
      <c r="Q2365" s="47"/>
    </row>
    <row r="2366" spans="13:17" ht="12.75">
      <c r="M2366" s="47"/>
      <c r="Q2366" s="47"/>
    </row>
    <row r="2367" spans="13:17" ht="12.75">
      <c r="M2367" s="47"/>
      <c r="Q2367" s="47"/>
    </row>
    <row r="2368" spans="13:17" ht="12.75">
      <c r="M2368" s="47"/>
      <c r="Q2368" s="47"/>
    </row>
    <row r="2369" spans="13:17" ht="12.75">
      <c r="M2369" s="47"/>
      <c r="Q2369" s="47"/>
    </row>
    <row r="2370" spans="13:17" ht="12.75">
      <c r="M2370" s="47"/>
      <c r="Q2370" s="47"/>
    </row>
    <row r="2371" spans="13:17" ht="12.75">
      <c r="M2371" s="47"/>
      <c r="Q2371" s="47"/>
    </row>
    <row r="2372" spans="13:17" ht="12.75">
      <c r="M2372" s="47"/>
      <c r="Q2372" s="47"/>
    </row>
    <row r="2373" spans="13:17" ht="12.75">
      <c r="M2373" s="47"/>
      <c r="Q2373" s="47"/>
    </row>
    <row r="2374" spans="13:17" ht="12.75">
      <c r="M2374" s="47"/>
      <c r="Q2374" s="47"/>
    </row>
    <row r="2375" spans="13:17" ht="12.75">
      <c r="M2375" s="47"/>
      <c r="Q2375" s="47"/>
    </row>
    <row r="2376" spans="13:17" ht="12.75">
      <c r="M2376" s="47"/>
      <c r="Q2376" s="47"/>
    </row>
    <row r="2377" spans="13:17" ht="12.75">
      <c r="M2377" s="47"/>
      <c r="Q2377" s="47"/>
    </row>
    <row r="2378" spans="13:17" ht="12.75">
      <c r="M2378" s="47"/>
      <c r="Q2378" s="47"/>
    </row>
    <row r="2379" spans="13:17" ht="12.75">
      <c r="M2379" s="47"/>
      <c r="Q2379" s="47"/>
    </row>
    <row r="2380" spans="13:17" ht="12.75">
      <c r="M2380" s="47"/>
      <c r="Q2380" s="47"/>
    </row>
    <row r="2381" spans="13:17" ht="12.75">
      <c r="M2381" s="47"/>
      <c r="Q2381" s="47"/>
    </row>
    <row r="2382" spans="13:17" ht="12.75">
      <c r="M2382" s="47"/>
      <c r="Q2382" s="47"/>
    </row>
    <row r="2383" spans="13:17" ht="12.75">
      <c r="M2383" s="47"/>
      <c r="Q2383" s="47"/>
    </row>
    <row r="2384" spans="13:17" ht="12.75">
      <c r="M2384" s="47"/>
      <c r="Q2384" s="47"/>
    </row>
    <row r="2385" spans="13:17" ht="12.75">
      <c r="M2385" s="47"/>
      <c r="Q2385" s="47"/>
    </row>
    <row r="2386" spans="13:17" ht="12.75">
      <c r="M2386" s="47"/>
      <c r="Q2386" s="47"/>
    </row>
    <row r="2387" spans="13:17" ht="12.75">
      <c r="M2387" s="47"/>
      <c r="Q2387" s="47"/>
    </row>
    <row r="2388" spans="13:17" ht="12.75">
      <c r="M2388" s="47"/>
      <c r="Q2388" s="47"/>
    </row>
    <row r="2389" spans="13:17" ht="12.75">
      <c r="M2389" s="47"/>
      <c r="Q2389" s="47"/>
    </row>
    <row r="2390" spans="13:17" ht="12.75">
      <c r="M2390" s="47"/>
      <c r="Q2390" s="47"/>
    </row>
    <row r="2391" spans="13:17" ht="12.75">
      <c r="M2391" s="47"/>
      <c r="Q2391" s="47"/>
    </row>
    <row r="2392" spans="13:17" ht="12.75">
      <c r="M2392" s="47"/>
      <c r="Q2392" s="47"/>
    </row>
    <row r="2393" spans="13:17" ht="12.75">
      <c r="M2393" s="47"/>
      <c r="Q2393" s="47"/>
    </row>
    <row r="2394" spans="13:17" ht="12.75">
      <c r="M2394" s="47"/>
      <c r="Q2394" s="47"/>
    </row>
    <row r="2395" spans="13:17" ht="12.75">
      <c r="M2395" s="47"/>
      <c r="Q2395" s="47"/>
    </row>
    <row r="2396" spans="13:17" ht="12.75">
      <c r="M2396" s="47"/>
      <c r="Q2396" s="47"/>
    </row>
    <row r="2397" spans="13:17" ht="12.75">
      <c r="M2397" s="47"/>
      <c r="Q2397" s="47"/>
    </row>
    <row r="2398" spans="13:17" ht="12.75">
      <c r="M2398" s="47"/>
      <c r="Q2398" s="47"/>
    </row>
    <row r="2399" spans="13:17" ht="12.75">
      <c r="M2399" s="47"/>
      <c r="Q2399" s="47"/>
    </row>
    <row r="2400" spans="13:17" ht="12.75">
      <c r="M2400" s="47"/>
      <c r="Q2400" s="47"/>
    </row>
    <row r="2401" spans="13:17" ht="12.75">
      <c r="M2401" s="47"/>
      <c r="Q2401" s="47"/>
    </row>
    <row r="2402" spans="13:17" ht="12.75">
      <c r="M2402" s="47"/>
      <c r="Q2402" s="47"/>
    </row>
    <row r="2403" spans="13:17" ht="12.75">
      <c r="M2403" s="47"/>
      <c r="Q2403" s="47"/>
    </row>
    <row r="2404" spans="13:17" ht="12.75">
      <c r="M2404" s="47"/>
      <c r="Q2404" s="47"/>
    </row>
    <row r="2405" spans="13:17" ht="12.75">
      <c r="M2405" s="47"/>
      <c r="Q2405" s="47"/>
    </row>
    <row r="2406" spans="13:17" ht="12.75">
      <c r="M2406" s="47"/>
      <c r="Q2406" s="47"/>
    </row>
    <row r="2407" spans="13:17" ht="12.75">
      <c r="M2407" s="47"/>
      <c r="Q2407" s="47"/>
    </row>
    <row r="2408" spans="13:17" ht="12.75">
      <c r="M2408" s="47"/>
      <c r="Q2408" s="47"/>
    </row>
    <row r="2409" spans="13:17" ht="12.75">
      <c r="M2409" s="47"/>
      <c r="Q2409" s="47"/>
    </row>
    <row r="2410" spans="13:17" ht="12.75">
      <c r="M2410" s="47"/>
      <c r="Q2410" s="47"/>
    </row>
    <row r="2411" spans="13:17" ht="12.75">
      <c r="M2411" s="47"/>
      <c r="Q2411" s="47"/>
    </row>
    <row r="2412" spans="13:17" ht="12.75">
      <c r="M2412" s="47"/>
      <c r="Q2412" s="47"/>
    </row>
    <row r="2413" spans="13:17" ht="12.75">
      <c r="M2413" s="47"/>
      <c r="Q2413" s="47"/>
    </row>
    <row r="2414" spans="13:17" ht="12.75">
      <c r="M2414" s="47"/>
      <c r="Q2414" s="47"/>
    </row>
    <row r="2415" spans="13:17" ht="12.75">
      <c r="M2415" s="47"/>
      <c r="Q2415" s="47"/>
    </row>
    <row r="2416" spans="13:17" ht="12.75">
      <c r="M2416" s="47"/>
      <c r="Q2416" s="47"/>
    </row>
    <row r="2417" spans="13:17" ht="12.75">
      <c r="M2417" s="47"/>
      <c r="Q2417" s="47"/>
    </row>
    <row r="2418" spans="13:17" ht="12.75">
      <c r="M2418" s="47"/>
      <c r="Q2418" s="47"/>
    </row>
    <row r="2419" spans="13:17" ht="12.75">
      <c r="M2419" s="47"/>
      <c r="Q2419" s="47"/>
    </row>
    <row r="2420" spans="13:17" ht="12.75">
      <c r="M2420" s="47"/>
      <c r="Q2420" s="47"/>
    </row>
    <row r="2421" spans="13:17" ht="12.75">
      <c r="M2421" s="47"/>
      <c r="Q2421" s="47"/>
    </row>
    <row r="2422" spans="13:17" ht="12.75">
      <c r="M2422" s="47"/>
      <c r="Q2422" s="47"/>
    </row>
    <row r="2423" spans="13:17" ht="12.75">
      <c r="M2423" s="47"/>
      <c r="Q2423" s="47"/>
    </row>
    <row r="2424" spans="13:17" ht="12.75">
      <c r="M2424" s="47"/>
      <c r="Q2424" s="47"/>
    </row>
    <row r="2425" spans="13:17" ht="12.75">
      <c r="M2425" s="47"/>
      <c r="Q2425" s="47"/>
    </row>
    <row r="2426" spans="13:17" ht="12.75">
      <c r="M2426" s="47"/>
      <c r="Q2426" s="47"/>
    </row>
    <row r="2427" spans="13:17" ht="12.75">
      <c r="M2427" s="47"/>
      <c r="Q2427" s="47"/>
    </row>
    <row r="2428" spans="13:17" ht="12.75">
      <c r="M2428" s="47"/>
      <c r="Q2428" s="47"/>
    </row>
    <row r="2429" spans="13:17" ht="12.75">
      <c r="M2429" s="47"/>
      <c r="Q2429" s="47"/>
    </row>
    <row r="2430" spans="13:17" ht="12.75">
      <c r="M2430" s="47"/>
      <c r="Q2430" s="47"/>
    </row>
    <row r="2431" spans="13:17" ht="12.75">
      <c r="M2431" s="47"/>
      <c r="Q2431" s="47"/>
    </row>
    <row r="2432" spans="13:17" ht="12.75">
      <c r="M2432" s="47"/>
      <c r="Q2432" s="47"/>
    </row>
    <row r="2433" spans="13:17" ht="12.75">
      <c r="M2433" s="47"/>
      <c r="Q2433" s="47"/>
    </row>
    <row r="2434" spans="13:17" ht="12.75">
      <c r="M2434" s="47"/>
      <c r="Q2434" s="47"/>
    </row>
    <row r="2435" spans="13:17" ht="12.75">
      <c r="M2435" s="47"/>
      <c r="Q2435" s="47"/>
    </row>
    <row r="2436" spans="13:17" ht="12.75">
      <c r="M2436" s="47"/>
      <c r="Q2436" s="47"/>
    </row>
    <row r="2437" spans="13:17" ht="12.75">
      <c r="M2437" s="47"/>
      <c r="Q2437" s="47"/>
    </row>
    <row r="2438" spans="13:17" ht="12.75">
      <c r="M2438" s="47"/>
      <c r="Q2438" s="47"/>
    </row>
    <row r="2439" spans="13:17" ht="12.75">
      <c r="M2439" s="47"/>
      <c r="Q2439" s="47"/>
    </row>
    <row r="2440" spans="13:17" ht="12.75">
      <c r="M2440" s="47"/>
      <c r="Q2440" s="47"/>
    </row>
    <row r="2441" spans="13:17" ht="12.75">
      <c r="M2441" s="47"/>
      <c r="Q2441" s="47"/>
    </row>
    <row r="2442" spans="13:17" ht="12.75">
      <c r="M2442" s="47"/>
      <c r="Q2442" s="47"/>
    </row>
    <row r="2443" spans="13:17" ht="12.75">
      <c r="M2443" s="47"/>
      <c r="Q2443" s="47"/>
    </row>
    <row r="2444" spans="13:17" ht="12.75">
      <c r="M2444" s="47"/>
      <c r="Q2444" s="47"/>
    </row>
    <row r="2445" spans="13:17" ht="12.75">
      <c r="M2445" s="47"/>
      <c r="Q2445" s="47"/>
    </row>
    <row r="2446" spans="13:17" ht="12.75">
      <c r="M2446" s="47"/>
      <c r="Q2446" s="47"/>
    </row>
    <row r="2447" spans="13:17" ht="12.75">
      <c r="M2447" s="47"/>
      <c r="Q2447" s="47"/>
    </row>
    <row r="2448" spans="13:17" ht="12.75">
      <c r="M2448" s="47"/>
      <c r="Q2448" s="47"/>
    </row>
    <row r="2449" spans="13:17" ht="12.75">
      <c r="M2449" s="47"/>
      <c r="Q2449" s="47"/>
    </row>
    <row r="2450" spans="13:17" ht="12.75">
      <c r="M2450" s="47"/>
      <c r="Q2450" s="47"/>
    </row>
    <row r="2451" spans="13:17" ht="12.75">
      <c r="M2451" s="47"/>
      <c r="Q2451" s="47"/>
    </row>
    <row r="2452" spans="13:17" ht="12.75">
      <c r="M2452" s="47"/>
      <c r="Q2452" s="47"/>
    </row>
    <row r="2453" spans="13:17" ht="12.75">
      <c r="M2453" s="47"/>
      <c r="Q2453" s="47"/>
    </row>
    <row r="2454" spans="13:17" ht="12.75">
      <c r="M2454" s="47"/>
      <c r="Q2454" s="47"/>
    </row>
    <row r="2455" spans="13:17" ht="12.75">
      <c r="M2455" s="47"/>
      <c r="Q2455" s="47"/>
    </row>
    <row r="2456" spans="13:17" ht="12.75">
      <c r="M2456" s="47"/>
      <c r="Q2456" s="47"/>
    </row>
    <row r="2457" spans="13:17" ht="12.75">
      <c r="M2457" s="47"/>
      <c r="Q2457" s="47"/>
    </row>
    <row r="2458" spans="13:17" ht="12.75">
      <c r="M2458" s="47"/>
      <c r="Q2458" s="47"/>
    </row>
    <row r="2459" spans="13:17" ht="12.75">
      <c r="M2459" s="47"/>
      <c r="Q2459" s="47"/>
    </row>
    <row r="2460" spans="13:17" ht="12.75">
      <c r="M2460" s="47"/>
      <c r="Q2460" s="47"/>
    </row>
    <row r="2461" spans="13:17" ht="12.75">
      <c r="M2461" s="47"/>
      <c r="Q2461" s="47"/>
    </row>
    <row r="2462" spans="13:17" ht="12.75">
      <c r="M2462" s="47"/>
      <c r="Q2462" s="47"/>
    </row>
    <row r="2463" spans="13:17" ht="12.75">
      <c r="M2463" s="47"/>
      <c r="Q2463" s="47"/>
    </row>
    <row r="2464" spans="13:17" ht="12.75">
      <c r="M2464" s="47"/>
      <c r="Q2464" s="47"/>
    </row>
    <row r="2465" spans="13:17" ht="12.75">
      <c r="M2465" s="47"/>
      <c r="Q2465" s="47"/>
    </row>
    <row r="2466" spans="13:17" ht="12.75">
      <c r="M2466" s="47"/>
      <c r="Q2466" s="47"/>
    </row>
    <row r="2467" spans="13:17" ht="12.75">
      <c r="M2467" s="47"/>
      <c r="Q2467" s="47"/>
    </row>
    <row r="2468" spans="13:17" ht="12.75">
      <c r="M2468" s="47"/>
      <c r="Q2468" s="47"/>
    </row>
    <row r="2469" spans="13:17" ht="12.75">
      <c r="M2469" s="47"/>
      <c r="Q2469" s="47"/>
    </row>
    <row r="2470" spans="13:17" ht="12.75">
      <c r="M2470" s="47"/>
      <c r="Q2470" s="47"/>
    </row>
    <row r="2471" spans="13:17" ht="12.75">
      <c r="M2471" s="47"/>
      <c r="Q2471" s="47"/>
    </row>
    <row r="2472" spans="13:17" ht="12.75">
      <c r="M2472" s="47"/>
      <c r="Q2472" s="47"/>
    </row>
    <row r="2473" spans="13:17" ht="12.75">
      <c r="M2473" s="47"/>
      <c r="Q2473" s="47"/>
    </row>
    <row r="2474" spans="13:17" ht="12.75">
      <c r="M2474" s="47"/>
      <c r="Q2474" s="47"/>
    </row>
    <row r="2475" spans="13:17" ht="12.75">
      <c r="M2475" s="47"/>
      <c r="Q2475" s="47"/>
    </row>
    <row r="2476" spans="13:17" ht="12.75">
      <c r="M2476" s="47"/>
      <c r="Q2476" s="47"/>
    </row>
    <row r="2477" spans="13:17" ht="12.75">
      <c r="M2477" s="47"/>
      <c r="Q2477" s="47"/>
    </row>
    <row r="2478" spans="13:17" ht="12.75">
      <c r="M2478" s="47"/>
      <c r="Q2478" s="47"/>
    </row>
    <row r="2479" spans="13:17" ht="12.75">
      <c r="M2479" s="47"/>
      <c r="Q2479" s="47"/>
    </row>
    <row r="2480" spans="13:17" ht="12.75">
      <c r="M2480" s="47"/>
      <c r="Q2480" s="47"/>
    </row>
    <row r="2481" spans="13:17" ht="12.75">
      <c r="M2481" s="47"/>
      <c r="Q2481" s="47"/>
    </row>
    <row r="2482" spans="13:17" ht="12.75">
      <c r="M2482" s="47"/>
      <c r="Q2482" s="47"/>
    </row>
    <row r="2483" spans="13:17" ht="12.75">
      <c r="M2483" s="47"/>
      <c r="Q2483" s="47"/>
    </row>
    <row r="2484" spans="13:17" ht="12.75">
      <c r="M2484" s="47"/>
      <c r="Q2484" s="47"/>
    </row>
    <row r="2485" spans="13:17" ht="12.75">
      <c r="M2485" s="47"/>
      <c r="Q2485" s="47"/>
    </row>
    <row r="2486" spans="13:17" ht="12.75">
      <c r="M2486" s="47"/>
      <c r="Q2486" s="47"/>
    </row>
    <row r="2487" spans="13:17" ht="12.75">
      <c r="M2487" s="47"/>
      <c r="Q2487" s="47"/>
    </row>
    <row r="2488" spans="13:17" ht="12.75">
      <c r="M2488" s="47"/>
      <c r="Q2488" s="47"/>
    </row>
    <row r="2489" spans="13:17" ht="12.75">
      <c r="M2489" s="47"/>
      <c r="Q2489" s="47"/>
    </row>
    <row r="2490" spans="13:17" ht="12.75">
      <c r="M2490" s="47"/>
      <c r="Q2490" s="47"/>
    </row>
    <row r="2491" spans="13:17" ht="12.75">
      <c r="M2491" s="47"/>
      <c r="Q2491" s="47"/>
    </row>
    <row r="2492" spans="13:17" ht="12.75">
      <c r="M2492" s="47"/>
      <c r="Q2492" s="47"/>
    </row>
    <row r="2493" spans="13:17" ht="12.75">
      <c r="M2493" s="47"/>
      <c r="Q2493" s="47"/>
    </row>
    <row r="2494" spans="13:17" ht="12.75">
      <c r="M2494" s="47"/>
      <c r="Q2494" s="47"/>
    </row>
    <row r="2495" spans="13:17" ht="12.75">
      <c r="M2495" s="47"/>
      <c r="Q2495" s="47"/>
    </row>
    <row r="2496" spans="13:17" ht="12.75">
      <c r="M2496" s="47"/>
      <c r="Q2496" s="47"/>
    </row>
    <row r="2497" spans="13:17" ht="12.75">
      <c r="M2497" s="47"/>
      <c r="Q2497" s="47"/>
    </row>
    <row r="2498" spans="13:17" ht="12.75">
      <c r="M2498" s="47"/>
      <c r="Q2498" s="47"/>
    </row>
    <row r="2499" spans="13:17" ht="12.75">
      <c r="M2499" s="47"/>
      <c r="Q2499" s="47"/>
    </row>
    <row r="2500" spans="13:17" ht="12.75">
      <c r="M2500" s="47"/>
      <c r="Q2500" s="47"/>
    </row>
    <row r="2501" spans="13:17" ht="12.75">
      <c r="M2501" s="47"/>
      <c r="Q2501" s="47"/>
    </row>
    <row r="2502" spans="13:17" ht="12.75">
      <c r="M2502" s="47"/>
      <c r="Q2502" s="47"/>
    </row>
    <row r="2503" spans="13:17" ht="12.75">
      <c r="M2503" s="47"/>
      <c r="Q2503" s="47"/>
    </row>
    <row r="2504" spans="13:17" ht="12.75">
      <c r="M2504" s="47"/>
      <c r="Q2504" s="47"/>
    </row>
    <row r="2505" spans="13:17" ht="12.75">
      <c r="M2505" s="47"/>
      <c r="Q2505" s="47"/>
    </row>
    <row r="2506" spans="13:17" ht="12.75">
      <c r="M2506" s="47"/>
      <c r="Q2506" s="47"/>
    </row>
    <row r="2507" spans="13:17" ht="12.75">
      <c r="M2507" s="47"/>
      <c r="Q2507" s="47"/>
    </row>
    <row r="2508" spans="13:17" ht="12.75">
      <c r="M2508" s="47"/>
      <c r="Q2508" s="47"/>
    </row>
    <row r="2509" spans="13:17" ht="12.75">
      <c r="M2509" s="47"/>
      <c r="Q2509" s="47"/>
    </row>
    <row r="2510" spans="13:17" ht="12.75">
      <c r="M2510" s="47"/>
      <c r="Q2510" s="47"/>
    </row>
    <row r="2511" spans="13:17" ht="12.75">
      <c r="M2511" s="47"/>
      <c r="Q2511" s="47"/>
    </row>
    <row r="2512" spans="13:17" ht="12.75">
      <c r="M2512" s="47"/>
      <c r="Q2512" s="47"/>
    </row>
    <row r="2513" spans="13:17" ht="12.75">
      <c r="M2513" s="47"/>
      <c r="Q2513" s="47"/>
    </row>
    <row r="2514" spans="13:17" ht="12.75">
      <c r="M2514" s="47"/>
      <c r="Q2514" s="47"/>
    </row>
    <row r="2515" spans="13:17" ht="12.75">
      <c r="M2515" s="47"/>
      <c r="Q2515" s="47"/>
    </row>
    <row r="2516" spans="13:17" ht="12.75">
      <c r="M2516" s="47"/>
      <c r="Q2516" s="47"/>
    </row>
    <row r="2517" spans="13:17" ht="12.75">
      <c r="M2517" s="47"/>
      <c r="Q2517" s="47"/>
    </row>
    <row r="2518" spans="13:17" ht="12.75">
      <c r="M2518" s="47"/>
      <c r="Q2518" s="47"/>
    </row>
    <row r="2519" spans="13:17" ht="12.75">
      <c r="M2519" s="47"/>
      <c r="Q2519" s="47"/>
    </row>
    <row r="2520" spans="13:17" ht="12.75">
      <c r="M2520" s="47"/>
      <c r="Q2520" s="47"/>
    </row>
    <row r="2521" spans="13:17" ht="12.75">
      <c r="M2521" s="47"/>
      <c r="Q2521" s="47"/>
    </row>
    <row r="2522" spans="13:17" ht="12.75">
      <c r="M2522" s="47"/>
      <c r="Q2522" s="47"/>
    </row>
    <row r="2523" spans="13:17" ht="12.75">
      <c r="M2523" s="47"/>
      <c r="Q2523" s="47"/>
    </row>
    <row r="2524" spans="13:17" ht="12.75">
      <c r="M2524" s="47"/>
      <c r="Q2524" s="47"/>
    </row>
    <row r="2525" spans="13:17" ht="12.75">
      <c r="M2525" s="47"/>
      <c r="Q2525" s="47"/>
    </row>
    <row r="2526" spans="13:17" ht="12.75">
      <c r="M2526" s="47"/>
      <c r="Q2526" s="47"/>
    </row>
    <row r="2527" spans="13:17" ht="12.75">
      <c r="M2527" s="47"/>
      <c r="Q2527" s="47"/>
    </row>
    <row r="2528" spans="13:17" ht="12.75">
      <c r="M2528" s="47"/>
      <c r="Q2528" s="47"/>
    </row>
    <row r="2529" spans="13:17" ht="12.75">
      <c r="M2529" s="47"/>
      <c r="Q2529" s="47"/>
    </row>
    <row r="2530" spans="13:17" ht="12.75">
      <c r="M2530" s="47"/>
      <c r="Q2530" s="47"/>
    </row>
    <row r="2531" spans="13:17" ht="12.75">
      <c r="M2531" s="47"/>
      <c r="Q2531" s="47"/>
    </row>
    <row r="2532" spans="13:17" ht="12.75">
      <c r="M2532" s="47"/>
      <c r="Q2532" s="47"/>
    </row>
    <row r="2533" spans="13:17" ht="12.75">
      <c r="M2533" s="47"/>
      <c r="Q2533" s="47"/>
    </row>
    <row r="2534" spans="13:17" ht="12.75">
      <c r="M2534" s="47"/>
      <c r="Q2534" s="47"/>
    </row>
    <row r="2535" spans="13:17" ht="12.75">
      <c r="M2535" s="47"/>
      <c r="Q2535" s="47"/>
    </row>
    <row r="2536" spans="13:17" ht="12.75">
      <c r="M2536" s="47"/>
      <c r="Q2536" s="47"/>
    </row>
    <row r="2537" spans="13:17" ht="12.75">
      <c r="M2537" s="47"/>
      <c r="Q2537" s="47"/>
    </row>
    <row r="2538" spans="13:17" ht="12.75">
      <c r="M2538" s="47"/>
      <c r="Q2538" s="47"/>
    </row>
    <row r="2539" spans="13:17" ht="12.75">
      <c r="M2539" s="47"/>
      <c r="Q2539" s="47"/>
    </row>
    <row r="2540" spans="13:17" ht="12.75">
      <c r="M2540" s="47"/>
      <c r="Q2540" s="47"/>
    </row>
    <row r="2541" spans="13:17" ht="12.75">
      <c r="M2541" s="47"/>
      <c r="Q2541" s="47"/>
    </row>
    <row r="2542" spans="13:17" ht="12.75">
      <c r="M2542" s="47"/>
      <c r="Q2542" s="47"/>
    </row>
    <row r="2543" spans="13:17" ht="12.75">
      <c r="M2543" s="47"/>
      <c r="Q2543" s="47"/>
    </row>
    <row r="2544" spans="13:17" ht="12.75">
      <c r="M2544" s="47"/>
      <c r="Q2544" s="47"/>
    </row>
    <row r="2545" spans="13:17" ht="12.75">
      <c r="M2545" s="47"/>
      <c r="Q2545" s="47"/>
    </row>
    <row r="2546" spans="13:17" ht="12.75">
      <c r="M2546" s="47"/>
      <c r="Q2546" s="47"/>
    </row>
    <row r="2547" spans="13:17" ht="12.75">
      <c r="M2547" s="47"/>
      <c r="Q2547" s="47"/>
    </row>
    <row r="2548" spans="13:17" ht="12.75">
      <c r="M2548" s="47"/>
      <c r="Q2548" s="47"/>
    </row>
    <row r="2549" spans="13:17" ht="12.75">
      <c r="M2549" s="47"/>
      <c r="Q2549" s="47"/>
    </row>
    <row r="2550" spans="13:17" ht="12.75">
      <c r="M2550" s="47"/>
      <c r="Q2550" s="47"/>
    </row>
    <row r="2551" spans="13:17" ht="12.75">
      <c r="M2551" s="47"/>
      <c r="Q2551" s="47"/>
    </row>
    <row r="2552" spans="13:17" ht="12.75">
      <c r="M2552" s="47"/>
      <c r="Q2552" s="47"/>
    </row>
    <row r="2553" spans="13:17" ht="12.75">
      <c r="M2553" s="47"/>
      <c r="Q2553" s="47"/>
    </row>
    <row r="2554" spans="13:17" ht="12.75">
      <c r="M2554" s="47"/>
      <c r="Q2554" s="47"/>
    </row>
    <row r="2555" spans="13:17" ht="12.75">
      <c r="M2555" s="47"/>
      <c r="Q2555" s="47"/>
    </row>
    <row r="2556" spans="13:17" ht="12.75">
      <c r="M2556" s="47"/>
      <c r="Q2556" s="47"/>
    </row>
    <row r="2557" spans="13:17" ht="12.75">
      <c r="M2557" s="47"/>
      <c r="Q2557" s="47"/>
    </row>
    <row r="2558" spans="13:17" ht="12.75">
      <c r="M2558" s="47"/>
      <c r="Q2558" s="47"/>
    </row>
    <row r="2559" spans="13:17" ht="12.75">
      <c r="M2559" s="47"/>
      <c r="Q2559" s="47"/>
    </row>
    <row r="2560" spans="13:17" ht="12.75">
      <c r="M2560" s="47"/>
      <c r="Q2560" s="47"/>
    </row>
    <row r="2561" spans="13:17" ht="12.75">
      <c r="M2561" s="47"/>
      <c r="Q2561" s="47"/>
    </row>
    <row r="2562" spans="13:17" ht="12.75">
      <c r="M2562" s="47"/>
      <c r="Q2562" s="47"/>
    </row>
    <row r="2563" spans="13:17" ht="12.75">
      <c r="M2563" s="47"/>
      <c r="Q2563" s="47"/>
    </row>
    <row r="2564" spans="13:17" ht="12.75">
      <c r="M2564" s="47"/>
      <c r="Q2564" s="47"/>
    </row>
    <row r="2565" spans="13:17" ht="12.75">
      <c r="M2565" s="47"/>
      <c r="Q2565" s="47"/>
    </row>
    <row r="2566" spans="13:17" ht="12.75">
      <c r="M2566" s="47"/>
      <c r="Q2566" s="47"/>
    </row>
    <row r="2567" spans="13:17" ht="12.75">
      <c r="M2567" s="47"/>
      <c r="Q2567" s="47"/>
    </row>
    <row r="2568" spans="13:17" ht="12.75">
      <c r="M2568" s="47"/>
      <c r="Q2568" s="47"/>
    </row>
    <row r="2569" spans="13:17" ht="12.75">
      <c r="M2569" s="47"/>
      <c r="Q2569" s="47"/>
    </row>
    <row r="2570" spans="13:17" ht="12.75">
      <c r="M2570" s="47"/>
      <c r="Q2570" s="47"/>
    </row>
    <row r="2571" spans="13:17" ht="12.75">
      <c r="M2571" s="47"/>
      <c r="Q2571" s="47"/>
    </row>
    <row r="2572" spans="13:17" ht="12.75">
      <c r="M2572" s="47"/>
      <c r="Q2572" s="47"/>
    </row>
    <row r="2573" spans="13:17" ht="12.75">
      <c r="M2573" s="47"/>
      <c r="Q2573" s="47"/>
    </row>
    <row r="2574" spans="13:17" ht="12.75">
      <c r="M2574" s="47"/>
      <c r="Q2574" s="47"/>
    </row>
    <row r="2575" spans="13:17" ht="12.75">
      <c r="M2575" s="47"/>
      <c r="Q2575" s="47"/>
    </row>
    <row r="2576" spans="13:17" ht="12.75">
      <c r="M2576" s="47"/>
      <c r="Q2576" s="47"/>
    </row>
    <row r="2577" spans="13:17" ht="12.75">
      <c r="M2577" s="47"/>
      <c r="Q2577" s="47"/>
    </row>
    <row r="2578" spans="13:17" ht="12.75">
      <c r="M2578" s="47"/>
      <c r="Q2578" s="47"/>
    </row>
    <row r="2579" spans="13:17" ht="12.75">
      <c r="M2579" s="47"/>
      <c r="Q2579" s="47"/>
    </row>
    <row r="2580" spans="13:17" ht="12.75">
      <c r="M2580" s="47"/>
      <c r="Q2580" s="47"/>
    </row>
    <row r="2581" spans="13:17" ht="12.75">
      <c r="M2581" s="47"/>
      <c r="Q2581" s="47"/>
    </row>
    <row r="2582" spans="13:17" ht="12.75">
      <c r="M2582" s="47"/>
      <c r="Q2582" s="47"/>
    </row>
    <row r="2583" spans="13:17" ht="12.75">
      <c r="M2583" s="47"/>
      <c r="Q2583" s="47"/>
    </row>
    <row r="2584" spans="13:17" ht="12.75">
      <c r="M2584" s="47"/>
      <c r="Q2584" s="47"/>
    </row>
    <row r="2585" spans="13:17" ht="12.75">
      <c r="M2585" s="47"/>
      <c r="Q2585" s="47"/>
    </row>
    <row r="2586" spans="13:17" ht="12.75">
      <c r="M2586" s="47"/>
      <c r="Q2586" s="47"/>
    </row>
    <row r="2587" spans="13:17" ht="12.75">
      <c r="M2587" s="47"/>
      <c r="Q2587" s="47"/>
    </row>
    <row r="2588" spans="13:17" ht="12.75">
      <c r="M2588" s="47"/>
      <c r="Q2588" s="47"/>
    </row>
    <row r="2589" spans="13:17" ht="12.75">
      <c r="M2589" s="47"/>
      <c r="Q2589" s="47"/>
    </row>
    <row r="2590" spans="13:17" ht="12.75">
      <c r="M2590" s="47"/>
      <c r="Q2590" s="47"/>
    </row>
    <row r="2591" spans="13:17" ht="12.75">
      <c r="M2591" s="47"/>
      <c r="Q2591" s="47"/>
    </row>
    <row r="2592" spans="13:17" ht="12.75">
      <c r="M2592" s="47"/>
      <c r="Q2592" s="47"/>
    </row>
    <row r="2593" spans="13:17" ht="12.75">
      <c r="M2593" s="47"/>
      <c r="Q2593" s="47"/>
    </row>
    <row r="2594" spans="13:17" ht="12.75">
      <c r="M2594" s="47"/>
      <c r="Q2594" s="47"/>
    </row>
    <row r="2595" spans="13:17" ht="12.75">
      <c r="M2595" s="47"/>
      <c r="Q2595" s="47"/>
    </row>
    <row r="2596" spans="13:17" ht="12.75">
      <c r="M2596" s="47"/>
      <c r="Q2596" s="47"/>
    </row>
    <row r="2597" spans="13:17" ht="12.75">
      <c r="M2597" s="47"/>
      <c r="Q2597" s="47"/>
    </row>
    <row r="2598" spans="13:17" ht="12.75">
      <c r="M2598" s="47"/>
      <c r="Q2598" s="47"/>
    </row>
    <row r="2599" spans="13:17" ht="12.75">
      <c r="M2599" s="47"/>
      <c r="Q2599" s="47"/>
    </row>
    <row r="2600" spans="13:17" ht="12.75">
      <c r="M2600" s="47"/>
      <c r="Q2600" s="47"/>
    </row>
    <row r="2601" spans="13:17" ht="12.75">
      <c r="M2601" s="47"/>
      <c r="Q2601" s="47"/>
    </row>
    <row r="2602" spans="13:17" ht="12.75">
      <c r="M2602" s="47"/>
      <c r="Q2602" s="47"/>
    </row>
    <row r="2603" spans="13:17" ht="12.75">
      <c r="M2603" s="47"/>
      <c r="Q2603" s="47"/>
    </row>
    <row r="2604" spans="13:17" ht="12.75">
      <c r="M2604" s="47"/>
      <c r="Q2604" s="47"/>
    </row>
    <row r="2605" spans="13:17" ht="12.75">
      <c r="M2605" s="47"/>
      <c r="Q2605" s="47"/>
    </row>
    <row r="2606" spans="13:17" ht="12.75">
      <c r="M2606" s="47"/>
      <c r="Q2606" s="47"/>
    </row>
    <row r="2607" spans="13:17" ht="12.75">
      <c r="M2607" s="47"/>
      <c r="Q2607" s="47"/>
    </row>
    <row r="2608" spans="13:17" ht="12.75">
      <c r="M2608" s="47"/>
      <c r="Q2608" s="47"/>
    </row>
    <row r="2609" spans="13:17" ht="12.75">
      <c r="M2609" s="47"/>
      <c r="Q2609" s="47"/>
    </row>
    <row r="2610" spans="13:17" ht="12.75">
      <c r="M2610" s="47"/>
      <c r="Q2610" s="47"/>
    </row>
    <row r="2611" spans="13:17" ht="12.75">
      <c r="M2611" s="47"/>
      <c r="Q2611" s="47"/>
    </row>
    <row r="2612" spans="13:17" ht="12.75">
      <c r="M2612" s="47"/>
      <c r="Q2612" s="47"/>
    </row>
    <row r="2613" spans="13:17" ht="12.75">
      <c r="M2613" s="47"/>
      <c r="Q2613" s="47"/>
    </row>
    <row r="2614" spans="13:17" ht="12.75">
      <c r="M2614" s="47"/>
      <c r="Q2614" s="47"/>
    </row>
    <row r="2615" spans="13:17" ht="12.75">
      <c r="M2615" s="47"/>
      <c r="Q2615" s="47"/>
    </row>
    <row r="2616" spans="13:17" ht="12.75">
      <c r="M2616" s="47"/>
      <c r="Q2616" s="47"/>
    </row>
    <row r="2617" spans="13:17" ht="12.75">
      <c r="M2617" s="47"/>
      <c r="Q2617" s="47"/>
    </row>
    <row r="2618" spans="13:17" ht="12.75">
      <c r="M2618" s="47"/>
      <c r="Q2618" s="47"/>
    </row>
    <row r="2619" spans="13:17" ht="12.75">
      <c r="M2619" s="47"/>
      <c r="Q2619" s="47"/>
    </row>
    <row r="2620" spans="13:17" ht="12.75">
      <c r="M2620" s="47"/>
      <c r="Q2620" s="47"/>
    </row>
    <row r="2621" spans="13:17" ht="12.75">
      <c r="M2621" s="47"/>
      <c r="Q2621" s="47"/>
    </row>
    <row r="2622" spans="13:17" ht="12.75">
      <c r="M2622" s="47"/>
      <c r="Q2622" s="47"/>
    </row>
    <row r="2623" spans="13:17" ht="12.75">
      <c r="M2623" s="47"/>
      <c r="Q2623" s="47"/>
    </row>
    <row r="2624" spans="13:17" ht="12.75">
      <c r="M2624" s="47"/>
      <c r="Q2624" s="47"/>
    </row>
    <row r="2625" spans="13:17" ht="12.75">
      <c r="M2625" s="47"/>
      <c r="Q2625" s="47"/>
    </row>
    <row r="2626" spans="13:17" ht="12.75">
      <c r="M2626" s="47"/>
      <c r="Q2626" s="47"/>
    </row>
    <row r="2627" spans="13:17" ht="12.75">
      <c r="M2627" s="47"/>
      <c r="Q2627" s="47"/>
    </row>
    <row r="2628" spans="13:17" ht="12.75">
      <c r="M2628" s="47"/>
      <c r="Q2628" s="47"/>
    </row>
    <row r="2629" spans="13:17" ht="12.75">
      <c r="M2629" s="47"/>
      <c r="Q2629" s="47"/>
    </row>
    <row r="2630" spans="13:17" ht="12.75">
      <c r="M2630" s="47"/>
      <c r="Q2630" s="47"/>
    </row>
    <row r="2631" spans="13:17" ht="12.75">
      <c r="M2631" s="47"/>
      <c r="Q2631" s="47"/>
    </row>
    <row r="2632" spans="13:17" ht="12.75">
      <c r="M2632" s="47"/>
      <c r="Q2632" s="47"/>
    </row>
    <row r="2633" spans="13:17" ht="12.75">
      <c r="M2633" s="47"/>
      <c r="Q2633" s="47"/>
    </row>
    <row r="2634" spans="13:17" ht="12.75">
      <c r="M2634" s="47"/>
      <c r="Q2634" s="47"/>
    </row>
    <row r="2635" spans="13:17" ht="12.75">
      <c r="M2635" s="47"/>
      <c r="Q2635" s="47"/>
    </row>
    <row r="2636" spans="13:17" ht="12.75">
      <c r="M2636" s="47"/>
      <c r="Q2636" s="47"/>
    </row>
    <row r="2637" spans="13:17" ht="12.75">
      <c r="M2637" s="47"/>
      <c r="Q2637" s="47"/>
    </row>
    <row r="2638" spans="13:17" ht="12.75">
      <c r="M2638" s="47"/>
      <c r="Q2638" s="47"/>
    </row>
    <row r="2639" spans="13:17" ht="12.75">
      <c r="M2639" s="47"/>
      <c r="Q2639" s="47"/>
    </row>
    <row r="2640" spans="13:17" ht="12.75">
      <c r="M2640" s="47"/>
      <c r="Q2640" s="47"/>
    </row>
    <row r="2641" spans="13:17" ht="12.75">
      <c r="M2641" s="47"/>
      <c r="Q2641" s="47"/>
    </row>
    <row r="2642" spans="13:17" ht="12.75">
      <c r="M2642" s="47"/>
      <c r="Q2642" s="47"/>
    </row>
    <row r="2643" spans="13:17" ht="12.75">
      <c r="M2643" s="47"/>
      <c r="Q2643" s="47"/>
    </row>
    <row r="2644" spans="13:17" ht="12.75">
      <c r="M2644" s="47"/>
      <c r="Q2644" s="47"/>
    </row>
    <row r="2645" spans="13:17" ht="12.75">
      <c r="M2645" s="47"/>
      <c r="Q2645" s="47"/>
    </row>
    <row r="2646" spans="13:17" ht="12.75">
      <c r="M2646" s="47"/>
      <c r="Q2646" s="47"/>
    </row>
    <row r="2647" spans="13:17" ht="12.75">
      <c r="M2647" s="47"/>
      <c r="Q2647" s="47"/>
    </row>
    <row r="2648" spans="13:17" ht="12.75">
      <c r="M2648" s="47"/>
      <c r="Q2648" s="47"/>
    </row>
    <row r="2649" spans="13:17" ht="12.75">
      <c r="M2649" s="47"/>
      <c r="Q2649" s="47"/>
    </row>
    <row r="2650" spans="13:17" ht="12.75">
      <c r="M2650" s="47"/>
      <c r="Q2650" s="47"/>
    </row>
    <row r="2651" spans="13:17" ht="12.75">
      <c r="M2651" s="47"/>
      <c r="Q2651" s="47"/>
    </row>
    <row r="2652" spans="13:17" ht="12.75">
      <c r="M2652" s="47"/>
      <c r="Q2652" s="47"/>
    </row>
    <row r="2653" spans="13:17" ht="12.75">
      <c r="M2653" s="47"/>
      <c r="Q2653" s="47"/>
    </row>
    <row r="2654" spans="13:17" ht="12.75">
      <c r="M2654" s="47"/>
      <c r="Q2654" s="47"/>
    </row>
    <row r="2655" spans="13:17" ht="12.75">
      <c r="M2655" s="47"/>
      <c r="Q2655" s="47"/>
    </row>
    <row r="2656" spans="13:17" ht="12.75">
      <c r="M2656" s="47"/>
      <c r="Q2656" s="47"/>
    </row>
    <row r="2657" spans="13:17" ht="12.75">
      <c r="M2657" s="47"/>
      <c r="Q2657" s="47"/>
    </row>
    <row r="2658" spans="13:17" ht="12.75">
      <c r="M2658" s="47"/>
      <c r="Q2658" s="47"/>
    </row>
    <row r="2659" spans="13:17" ht="12.75">
      <c r="M2659" s="47"/>
      <c r="Q2659" s="47"/>
    </row>
    <row r="2660" spans="13:17" ht="12.75">
      <c r="M2660" s="47"/>
      <c r="Q2660" s="47"/>
    </row>
    <row r="2661" spans="13:17" ht="12.75">
      <c r="M2661" s="47"/>
      <c r="Q2661" s="47"/>
    </row>
    <row r="2662" spans="13:17" ht="12.75">
      <c r="M2662" s="47"/>
      <c r="Q2662" s="47"/>
    </row>
    <row r="2663" spans="13:17" ht="12.75">
      <c r="M2663" s="47"/>
      <c r="Q2663" s="47"/>
    </row>
    <row r="2664" spans="13:17" ht="12.75">
      <c r="M2664" s="47"/>
      <c r="Q2664" s="47"/>
    </row>
    <row r="2665" spans="13:17" ht="12.75">
      <c r="M2665" s="47"/>
      <c r="Q2665" s="47"/>
    </row>
    <row r="2666" spans="13:17" ht="12.75">
      <c r="M2666" s="47"/>
      <c r="Q2666" s="47"/>
    </row>
    <row r="2667" spans="13:17" ht="12.75">
      <c r="M2667" s="47"/>
      <c r="Q2667" s="47"/>
    </row>
    <row r="2668" spans="13:17" ht="12.75">
      <c r="M2668" s="47"/>
      <c r="Q2668" s="47"/>
    </row>
    <row r="2669" spans="13:17" ht="12.75">
      <c r="M2669" s="47"/>
      <c r="Q2669" s="47"/>
    </row>
    <row r="2670" spans="13:17" ht="12.75">
      <c r="M2670" s="47"/>
      <c r="Q2670" s="47"/>
    </row>
    <row r="2671" spans="13:17" ht="12.75">
      <c r="M2671" s="47"/>
      <c r="Q2671" s="47"/>
    </row>
    <row r="2672" spans="13:17" ht="12.75">
      <c r="M2672" s="47"/>
      <c r="Q2672" s="47"/>
    </row>
    <row r="2673" spans="13:17" ht="12.75">
      <c r="M2673" s="47"/>
      <c r="Q2673" s="47"/>
    </row>
    <row r="2674" spans="13:17" ht="12.75">
      <c r="M2674" s="47"/>
      <c r="Q2674" s="47"/>
    </row>
    <row r="2675" spans="13:17" ht="12.75">
      <c r="M2675" s="47"/>
      <c r="Q2675" s="47"/>
    </row>
    <row r="2676" spans="13:17" ht="12.75">
      <c r="M2676" s="47"/>
      <c r="Q2676" s="47"/>
    </row>
    <row r="2677" spans="13:17" ht="12.75">
      <c r="M2677" s="47"/>
      <c r="Q2677" s="47"/>
    </row>
    <row r="2678" spans="13:17" ht="12.75">
      <c r="M2678" s="47"/>
      <c r="Q2678" s="47"/>
    </row>
    <row r="2679" spans="13:17" ht="12.75">
      <c r="M2679" s="47"/>
      <c r="Q2679" s="47"/>
    </row>
    <row r="2680" spans="13:17" ht="12.75">
      <c r="M2680" s="47"/>
      <c r="Q2680" s="47"/>
    </row>
    <row r="2681" spans="13:17" ht="12.75">
      <c r="M2681" s="47"/>
      <c r="Q2681" s="47"/>
    </row>
    <row r="2682" spans="13:17" ht="12.75">
      <c r="M2682" s="47"/>
      <c r="Q2682" s="47"/>
    </row>
    <row r="2683" spans="13:17" ht="12.75">
      <c r="M2683" s="47"/>
      <c r="Q2683" s="47"/>
    </row>
    <row r="2684" spans="13:17" ht="12.75">
      <c r="M2684" s="47"/>
      <c r="Q2684" s="47"/>
    </row>
    <row r="2685" spans="13:17" ht="12.75">
      <c r="M2685" s="47"/>
      <c r="Q2685" s="47"/>
    </row>
    <row r="2686" spans="13:17" ht="12.75">
      <c r="M2686" s="47"/>
      <c r="Q2686" s="47"/>
    </row>
    <row r="2687" spans="13:17" ht="12.75">
      <c r="M2687" s="47"/>
      <c r="Q2687" s="47"/>
    </row>
    <row r="2688" spans="13:17" ht="12.75">
      <c r="M2688" s="47"/>
      <c r="Q2688" s="47"/>
    </row>
    <row r="2689" spans="13:17" ht="12.75">
      <c r="M2689" s="47"/>
      <c r="Q2689" s="47"/>
    </row>
    <row r="2690" spans="13:17" ht="12.75">
      <c r="M2690" s="47"/>
      <c r="Q2690" s="47"/>
    </row>
    <row r="2691" spans="13:17" ht="12.75">
      <c r="M2691" s="47"/>
      <c r="Q2691" s="47"/>
    </row>
    <row r="2692" spans="13:17" ht="12.75">
      <c r="M2692" s="47"/>
      <c r="Q2692" s="47"/>
    </row>
    <row r="2693" spans="13:17" ht="12.75">
      <c r="M2693" s="47"/>
      <c r="Q2693" s="47"/>
    </row>
    <row r="2694" spans="13:17" ht="12.75">
      <c r="M2694" s="47"/>
      <c r="Q2694" s="47"/>
    </row>
    <row r="2695" spans="13:17" ht="12.75">
      <c r="M2695" s="47"/>
      <c r="Q2695" s="47"/>
    </row>
    <row r="2696" spans="13:17" ht="12.75">
      <c r="M2696" s="47"/>
      <c r="Q2696" s="47"/>
    </row>
    <row r="2697" spans="13:17" ht="12.75">
      <c r="M2697" s="47"/>
      <c r="Q2697" s="47"/>
    </row>
    <row r="2698" spans="13:17" ht="12.75">
      <c r="M2698" s="47"/>
      <c r="Q2698" s="47"/>
    </row>
    <row r="2699" spans="13:17" ht="12.75">
      <c r="M2699" s="47"/>
      <c r="Q2699" s="47"/>
    </row>
    <row r="2700" spans="13:17" ht="12.75">
      <c r="M2700" s="47"/>
      <c r="Q2700" s="47"/>
    </row>
    <row r="2701" spans="13:17" ht="12.75">
      <c r="M2701" s="47"/>
      <c r="Q2701" s="47"/>
    </row>
    <row r="2702" spans="13:17" ht="12.75">
      <c r="M2702" s="47"/>
      <c r="Q2702" s="47"/>
    </row>
    <row r="2703" spans="13:17" ht="12.75">
      <c r="M2703" s="47"/>
      <c r="Q2703" s="47"/>
    </row>
    <row r="2704" spans="13:17" ht="12.75">
      <c r="M2704" s="47"/>
      <c r="Q2704" s="47"/>
    </row>
    <row r="2705" spans="13:17" ht="12.75">
      <c r="M2705" s="47"/>
      <c r="Q2705" s="47"/>
    </row>
    <row r="2706" spans="13:17" ht="12.75">
      <c r="M2706" s="47"/>
      <c r="Q2706" s="47"/>
    </row>
    <row r="2707" spans="13:17" ht="12.75">
      <c r="M2707" s="47"/>
      <c r="Q2707" s="47"/>
    </row>
    <row r="2708" spans="13:17" ht="12.75">
      <c r="M2708" s="47"/>
      <c r="Q2708" s="47"/>
    </row>
    <row r="2709" spans="13:17" ht="12.75">
      <c r="M2709" s="47"/>
      <c r="Q2709" s="47"/>
    </row>
    <row r="2710" spans="13:17" ht="12.75">
      <c r="M2710" s="47"/>
      <c r="Q2710" s="47"/>
    </row>
    <row r="2711" spans="13:17" ht="12.75">
      <c r="M2711" s="47"/>
      <c r="Q2711" s="47"/>
    </row>
    <row r="2712" spans="13:17" ht="12.75">
      <c r="M2712" s="47"/>
      <c r="Q2712" s="47"/>
    </row>
    <row r="2713" spans="13:17" ht="12.75">
      <c r="M2713" s="47"/>
      <c r="Q2713" s="47"/>
    </row>
    <row r="2714" spans="13:17" ht="12.75">
      <c r="M2714" s="47"/>
      <c r="Q2714" s="47"/>
    </row>
    <row r="2715" spans="13:17" ht="12.75">
      <c r="M2715" s="47"/>
      <c r="Q2715" s="47"/>
    </row>
    <row r="2716" spans="13:17" ht="12.75">
      <c r="M2716" s="47"/>
      <c r="Q2716" s="47"/>
    </row>
    <row r="2717" spans="13:17" ht="12.75">
      <c r="M2717" s="47"/>
      <c r="Q2717" s="47"/>
    </row>
    <row r="2718" spans="13:17" ht="12.75">
      <c r="M2718" s="47"/>
      <c r="Q2718" s="47"/>
    </row>
    <row r="2719" spans="13:17" ht="12.75">
      <c r="M2719" s="47"/>
      <c r="Q2719" s="47"/>
    </row>
    <row r="2720" spans="13:17" ht="12.75">
      <c r="M2720" s="47"/>
      <c r="Q2720" s="47"/>
    </row>
    <row r="2721" spans="13:17" ht="12.75">
      <c r="M2721" s="47"/>
      <c r="Q2721" s="47"/>
    </row>
    <row r="2722" spans="13:17" ht="12.75">
      <c r="M2722" s="47"/>
      <c r="Q2722" s="47"/>
    </row>
    <row r="2723" spans="13:17" ht="12.75">
      <c r="M2723" s="47"/>
      <c r="Q2723" s="47"/>
    </row>
    <row r="2724" spans="13:17" ht="12.75">
      <c r="M2724" s="47"/>
      <c r="Q2724" s="47"/>
    </row>
    <row r="2725" spans="13:17" ht="12.75">
      <c r="M2725" s="47"/>
      <c r="Q2725" s="47"/>
    </row>
    <row r="2726" spans="13:17" ht="12.75">
      <c r="M2726" s="47"/>
      <c r="Q2726" s="47"/>
    </row>
    <row r="2727" spans="13:17" ht="12.75">
      <c r="M2727" s="47"/>
      <c r="Q2727" s="47"/>
    </row>
    <row r="2728" spans="13:17" ht="12.75">
      <c r="M2728" s="47"/>
      <c r="Q2728" s="47"/>
    </row>
    <row r="2729" spans="13:17" ht="12.75">
      <c r="M2729" s="47"/>
      <c r="Q2729" s="47"/>
    </row>
    <row r="2730" spans="13:17" ht="12.75">
      <c r="M2730" s="47"/>
      <c r="Q2730" s="47"/>
    </row>
    <row r="2731" spans="13:17" ht="12.75">
      <c r="M2731" s="47"/>
      <c r="Q2731" s="47"/>
    </row>
    <row r="2732" spans="13:17" ht="12.75">
      <c r="M2732" s="47"/>
      <c r="Q2732" s="47"/>
    </row>
    <row r="2733" spans="13:17" ht="12.75">
      <c r="M2733" s="47"/>
      <c r="Q2733" s="47"/>
    </row>
    <row r="2734" spans="13:17" ht="12.75">
      <c r="M2734" s="47"/>
      <c r="Q2734" s="47"/>
    </row>
    <row r="2735" spans="13:17" ht="12.75">
      <c r="M2735" s="47"/>
      <c r="Q2735" s="47"/>
    </row>
    <row r="2736" spans="13:17" ht="12.75">
      <c r="M2736" s="47"/>
      <c r="Q2736" s="47"/>
    </row>
    <row r="2737" spans="13:17" ht="12.75">
      <c r="M2737" s="47"/>
      <c r="Q2737" s="47"/>
    </row>
    <row r="2738" spans="13:17" ht="12.75">
      <c r="M2738" s="47"/>
      <c r="Q2738" s="47"/>
    </row>
    <row r="2739" spans="13:17" ht="12.75">
      <c r="M2739" s="47"/>
      <c r="Q2739" s="47"/>
    </row>
    <row r="2740" spans="13:17" ht="12.75">
      <c r="M2740" s="47"/>
      <c r="Q2740" s="47"/>
    </row>
    <row r="2741" spans="13:17" ht="12.75">
      <c r="M2741" s="47"/>
      <c r="Q2741" s="47"/>
    </row>
    <row r="2742" spans="13:17" ht="12.75">
      <c r="M2742" s="47"/>
      <c r="Q2742" s="47"/>
    </row>
    <row r="2743" spans="13:17" ht="12.75">
      <c r="M2743" s="47"/>
      <c r="Q2743" s="47"/>
    </row>
    <row r="2744" spans="13:17" ht="12.75">
      <c r="M2744" s="47"/>
      <c r="Q2744" s="47"/>
    </row>
    <row r="2745" spans="13:17" ht="12.75">
      <c r="M2745" s="47"/>
      <c r="Q2745" s="47"/>
    </row>
    <row r="2746" spans="13:17" ht="12.75">
      <c r="M2746" s="47"/>
      <c r="Q2746" s="47"/>
    </row>
    <row r="2747" spans="13:17" ht="12.75">
      <c r="M2747" s="47"/>
      <c r="Q2747" s="47"/>
    </row>
    <row r="2748" spans="13:17" ht="12.75">
      <c r="M2748" s="47"/>
      <c r="Q2748" s="47"/>
    </row>
    <row r="2749" spans="13:17" ht="12.75">
      <c r="M2749" s="47"/>
      <c r="Q2749" s="47"/>
    </row>
    <row r="2750" spans="13:17" ht="12.75">
      <c r="M2750" s="47"/>
      <c r="Q2750" s="47"/>
    </row>
    <row r="2751" spans="13:17" ht="12.75">
      <c r="M2751" s="47"/>
      <c r="Q2751" s="47"/>
    </row>
    <row r="2752" spans="13:17" ht="12.75">
      <c r="M2752" s="47"/>
      <c r="Q2752" s="47"/>
    </row>
    <row r="2753" spans="13:17" ht="12.75">
      <c r="M2753" s="47"/>
      <c r="Q2753" s="47"/>
    </row>
    <row r="2754" spans="13:17" ht="12.75">
      <c r="M2754" s="47"/>
      <c r="Q2754" s="47"/>
    </row>
    <row r="2755" spans="13:17" ht="12.75">
      <c r="M2755" s="47"/>
      <c r="Q2755" s="47"/>
    </row>
    <row r="2756" spans="13:17" ht="12.75">
      <c r="M2756" s="47"/>
      <c r="Q2756" s="47"/>
    </row>
    <row r="2757" spans="13:17" ht="12.75">
      <c r="M2757" s="47"/>
      <c r="Q2757" s="47"/>
    </row>
    <row r="2758" spans="13:17" ht="12.75">
      <c r="M2758" s="47"/>
      <c r="Q2758" s="47"/>
    </row>
    <row r="2759" spans="13:17" ht="12.75">
      <c r="M2759" s="47"/>
      <c r="Q2759" s="47"/>
    </row>
    <row r="2760" spans="13:17" ht="12.75">
      <c r="M2760" s="47"/>
      <c r="Q2760" s="47"/>
    </row>
    <row r="2761" spans="13:17" ht="12.75">
      <c r="M2761" s="47"/>
      <c r="Q2761" s="47"/>
    </row>
    <row r="2762" spans="13:17" ht="12.75">
      <c r="M2762" s="47"/>
      <c r="Q2762" s="47"/>
    </row>
    <row r="2763" spans="13:17" ht="12.75">
      <c r="M2763" s="47"/>
      <c r="Q2763" s="47"/>
    </row>
    <row r="2764" spans="13:17" ht="12.75">
      <c r="M2764" s="47"/>
      <c r="Q2764" s="47"/>
    </row>
    <row r="2765" spans="13:17" ht="12.75">
      <c r="M2765" s="47"/>
      <c r="Q2765" s="47"/>
    </row>
    <row r="2766" spans="13:17" ht="12.75">
      <c r="M2766" s="47"/>
      <c r="Q2766" s="47"/>
    </row>
    <row r="2767" spans="13:17" ht="12.75">
      <c r="M2767" s="47"/>
      <c r="Q2767" s="47"/>
    </row>
    <row r="2768" spans="13:17" ht="12.75">
      <c r="M2768" s="47"/>
      <c r="Q2768" s="47"/>
    </row>
    <row r="2769" spans="13:17" ht="12.75">
      <c r="M2769" s="47"/>
      <c r="Q2769" s="47"/>
    </row>
    <row r="2770" spans="13:17" ht="12.75">
      <c r="M2770" s="47"/>
      <c r="Q2770" s="47"/>
    </row>
    <row r="2771" spans="13:17" ht="12.75">
      <c r="M2771" s="47"/>
      <c r="Q2771" s="47"/>
    </row>
    <row r="2772" spans="13:17" ht="12.75">
      <c r="M2772" s="47"/>
      <c r="Q2772" s="47"/>
    </row>
    <row r="2773" spans="13:17" ht="12.75">
      <c r="M2773" s="47"/>
      <c r="Q2773" s="47"/>
    </row>
    <row r="2774" spans="13:17" ht="12.75">
      <c r="M2774" s="47"/>
      <c r="Q2774" s="47"/>
    </row>
    <row r="2775" spans="13:17" ht="12.75">
      <c r="M2775" s="47"/>
      <c r="Q2775" s="47"/>
    </row>
    <row r="2776" spans="13:17" ht="12.75">
      <c r="M2776" s="47"/>
      <c r="Q2776" s="47"/>
    </row>
    <row r="2777" spans="13:17" ht="12.75">
      <c r="M2777" s="47"/>
      <c r="Q2777" s="47"/>
    </row>
    <row r="2778" spans="13:17" ht="12.75">
      <c r="M2778" s="47"/>
      <c r="Q2778" s="47"/>
    </row>
    <row r="2779" spans="13:17" ht="12.75">
      <c r="M2779" s="47"/>
      <c r="Q2779" s="47"/>
    </row>
    <row r="2780" spans="13:17" ht="12.75">
      <c r="M2780" s="47"/>
      <c r="Q2780" s="47"/>
    </row>
    <row r="2781" spans="13:17" ht="12.75">
      <c r="M2781" s="47"/>
      <c r="Q2781" s="47"/>
    </row>
    <row r="2782" spans="13:17" ht="12.75">
      <c r="M2782" s="47"/>
      <c r="Q2782" s="47"/>
    </row>
    <row r="2783" spans="13:17" ht="12.75">
      <c r="M2783" s="47"/>
      <c r="Q2783" s="47"/>
    </row>
    <row r="2784" spans="13:17" ht="12.75">
      <c r="M2784" s="47"/>
      <c r="Q2784" s="47"/>
    </row>
    <row r="2785" spans="13:17" ht="12.75">
      <c r="M2785" s="47"/>
      <c r="Q2785" s="47"/>
    </row>
    <row r="2786" spans="13:17" ht="12.75">
      <c r="M2786" s="47"/>
      <c r="Q2786" s="47"/>
    </row>
    <row r="2787" spans="13:17" ht="12.75">
      <c r="M2787" s="47"/>
      <c r="Q2787" s="47"/>
    </row>
    <row r="2788" spans="13:17" ht="12.75">
      <c r="M2788" s="47"/>
      <c r="Q2788" s="47"/>
    </row>
    <row r="2789" spans="13:17" ht="12.75">
      <c r="M2789" s="47"/>
      <c r="Q2789" s="47"/>
    </row>
    <row r="2790" spans="13:17" ht="12.75">
      <c r="M2790" s="47"/>
      <c r="Q2790" s="47"/>
    </row>
    <row r="2791" spans="13:17" ht="12.75">
      <c r="M2791" s="47"/>
      <c r="Q2791" s="47"/>
    </row>
    <row r="2792" spans="13:17" ht="12.75">
      <c r="M2792" s="47"/>
      <c r="Q2792" s="47"/>
    </row>
    <row r="2793" spans="13:17" ht="12.75">
      <c r="M2793" s="47"/>
      <c r="Q2793" s="47"/>
    </row>
    <row r="2794" spans="13:17" ht="12.75">
      <c r="M2794" s="47"/>
      <c r="Q2794" s="47"/>
    </row>
    <row r="2795" spans="13:17" ht="12.75">
      <c r="M2795" s="47"/>
      <c r="Q2795" s="47"/>
    </row>
    <row r="2796" spans="13:17" ht="12.75">
      <c r="M2796" s="47"/>
      <c r="Q2796" s="47"/>
    </row>
    <row r="2797" spans="13:17" ht="12.75">
      <c r="M2797" s="47"/>
      <c r="Q2797" s="47"/>
    </row>
    <row r="2798" spans="13:17" ht="12.75">
      <c r="M2798" s="47"/>
      <c r="Q2798" s="47"/>
    </row>
    <row r="2799" spans="13:17" ht="12.75">
      <c r="M2799" s="47"/>
      <c r="Q2799" s="47"/>
    </row>
    <row r="2800" spans="13:17" ht="12.75">
      <c r="M2800" s="47"/>
      <c r="Q2800" s="47"/>
    </row>
    <row r="2801" spans="13:17" ht="12.75">
      <c r="M2801" s="47"/>
      <c r="Q2801" s="47"/>
    </row>
    <row r="2802" spans="13:17" ht="12.75">
      <c r="M2802" s="47"/>
      <c r="Q2802" s="47"/>
    </row>
    <row r="2803" spans="13:17" ht="12.75">
      <c r="M2803" s="47"/>
      <c r="Q2803" s="47"/>
    </row>
    <row r="2804" spans="13:17" ht="12.75">
      <c r="M2804" s="47"/>
      <c r="Q2804" s="47"/>
    </row>
    <row r="2805" spans="13:17" ht="12.75">
      <c r="M2805" s="47"/>
      <c r="Q2805" s="47"/>
    </row>
    <row r="2806" spans="13:17" ht="12.75">
      <c r="M2806" s="47"/>
      <c r="Q2806" s="47"/>
    </row>
    <row r="2807" spans="13:17" ht="12.75">
      <c r="M2807" s="47"/>
      <c r="Q2807" s="47"/>
    </row>
    <row r="2808" spans="13:17" ht="12.75">
      <c r="M2808" s="47"/>
      <c r="Q2808" s="47"/>
    </row>
    <row r="2809" spans="13:17" ht="12.75">
      <c r="M2809" s="47"/>
      <c r="Q2809" s="47"/>
    </row>
    <row r="2810" spans="13:17" ht="12.75">
      <c r="M2810" s="47"/>
      <c r="Q2810" s="47"/>
    </row>
    <row r="2811" spans="13:17" ht="12.75">
      <c r="M2811" s="47"/>
      <c r="Q2811" s="47"/>
    </row>
    <row r="2812" spans="13:17" ht="12.75">
      <c r="M2812" s="47"/>
      <c r="Q2812" s="47"/>
    </row>
    <row r="2813" spans="13:17" ht="12.75">
      <c r="M2813" s="47"/>
      <c r="Q2813" s="47"/>
    </row>
    <row r="2814" spans="13:17" ht="12.75">
      <c r="M2814" s="47"/>
      <c r="Q2814" s="47"/>
    </row>
    <row r="2815" spans="13:17" ht="12.75">
      <c r="M2815" s="47"/>
      <c r="Q2815" s="47"/>
    </row>
    <row r="2816" spans="13:17" ht="12.75">
      <c r="M2816" s="47"/>
      <c r="Q2816" s="47"/>
    </row>
    <row r="2817" spans="13:17" ht="12.75">
      <c r="M2817" s="47"/>
      <c r="Q2817" s="47"/>
    </row>
    <row r="2818" spans="13:17" ht="12.75">
      <c r="M2818" s="47"/>
      <c r="Q2818" s="47"/>
    </row>
    <row r="2819" spans="13:17" ht="12.75">
      <c r="M2819" s="47"/>
      <c r="Q2819" s="47"/>
    </row>
    <row r="2820" spans="13:17" ht="12.75">
      <c r="M2820" s="47"/>
      <c r="Q2820" s="47"/>
    </row>
    <row r="2821" spans="13:17" ht="12.75">
      <c r="M2821" s="47"/>
      <c r="Q2821" s="47"/>
    </row>
    <row r="2822" spans="13:17" ht="12.75">
      <c r="M2822" s="47"/>
      <c r="Q2822" s="47"/>
    </row>
    <row r="2823" spans="13:17" ht="12.75">
      <c r="M2823" s="47"/>
      <c r="Q2823" s="47"/>
    </row>
    <row r="2824" spans="13:17" ht="12.75">
      <c r="M2824" s="47"/>
      <c r="Q2824" s="47"/>
    </row>
    <row r="2825" spans="13:17" ht="12.75">
      <c r="M2825" s="47"/>
      <c r="Q2825" s="47"/>
    </row>
    <row r="2826" spans="13:17" ht="12.75">
      <c r="M2826" s="47"/>
      <c r="Q2826" s="47"/>
    </row>
    <row r="2827" spans="13:17" ht="12.75">
      <c r="M2827" s="47"/>
      <c r="Q2827" s="47"/>
    </row>
    <row r="2828" spans="13:17" ht="12.75">
      <c r="M2828" s="47"/>
      <c r="Q2828" s="47"/>
    </row>
    <row r="2829" spans="13:17" ht="12.75">
      <c r="M2829" s="47"/>
      <c r="Q2829" s="47"/>
    </row>
    <row r="2830" spans="13:17" ht="12.75">
      <c r="M2830" s="47"/>
      <c r="Q2830" s="47"/>
    </row>
    <row r="2831" spans="13:17" ht="12.75">
      <c r="M2831" s="47"/>
      <c r="Q2831" s="47"/>
    </row>
    <row r="2832" spans="13:17" ht="12.75">
      <c r="M2832" s="47"/>
      <c r="Q2832" s="47"/>
    </row>
    <row r="2833" spans="13:17" ht="12.75">
      <c r="M2833" s="47"/>
      <c r="Q2833" s="47"/>
    </row>
    <row r="2834" spans="13:17" ht="12.75">
      <c r="M2834" s="47"/>
      <c r="Q2834" s="47"/>
    </row>
    <row r="2835" spans="13:17" ht="12.75">
      <c r="M2835" s="47"/>
      <c r="Q2835" s="47"/>
    </row>
    <row r="2836" spans="13:17" ht="12.75">
      <c r="M2836" s="47"/>
      <c r="Q2836" s="47"/>
    </row>
    <row r="2837" spans="13:17" ht="12.75">
      <c r="M2837" s="47"/>
      <c r="Q2837" s="47"/>
    </row>
    <row r="2838" spans="13:17" ht="12.75">
      <c r="M2838" s="47"/>
      <c r="Q2838" s="47"/>
    </row>
    <row r="2839" spans="13:17" ht="12.75">
      <c r="M2839" s="47"/>
      <c r="Q2839" s="47"/>
    </row>
    <row r="2840" spans="13:17" ht="12.75">
      <c r="M2840" s="47"/>
      <c r="Q2840" s="47"/>
    </row>
    <row r="2841" spans="13:17" ht="12.75">
      <c r="M2841" s="47"/>
      <c r="Q2841" s="47"/>
    </row>
    <row r="2842" spans="13:17" ht="12.75">
      <c r="M2842" s="47"/>
      <c r="Q2842" s="47"/>
    </row>
    <row r="2843" spans="13:17" ht="12.75">
      <c r="M2843" s="47"/>
      <c r="Q2843" s="47"/>
    </row>
    <row r="2844" spans="13:17" ht="12.75">
      <c r="M2844" s="47"/>
      <c r="Q2844" s="47"/>
    </row>
    <row r="2845" spans="13:17" ht="12.75">
      <c r="M2845" s="47"/>
      <c r="Q2845" s="47"/>
    </row>
    <row r="2846" spans="13:17" ht="12.75">
      <c r="M2846" s="47"/>
      <c r="Q2846" s="47"/>
    </row>
    <row r="2847" spans="13:17" ht="12.75">
      <c r="M2847" s="47"/>
      <c r="Q2847" s="47"/>
    </row>
    <row r="2848" spans="13:17" ht="12.75">
      <c r="M2848" s="47"/>
      <c r="Q2848" s="47"/>
    </row>
    <row r="2849" spans="13:17" ht="12.75">
      <c r="M2849" s="47"/>
      <c r="Q2849" s="47"/>
    </row>
    <row r="2850" spans="13:17" ht="12.75">
      <c r="M2850" s="47"/>
      <c r="Q2850" s="47"/>
    </row>
    <row r="2851" spans="13:17" ht="12.75">
      <c r="M2851" s="47"/>
      <c r="Q2851" s="47"/>
    </row>
    <row r="2852" spans="13:17" ht="12.75">
      <c r="M2852" s="47"/>
      <c r="Q2852" s="47"/>
    </row>
    <row r="2853" spans="13:17" ht="12.75">
      <c r="M2853" s="47"/>
      <c r="Q2853" s="47"/>
    </row>
    <row r="2854" spans="13:17" ht="12.75">
      <c r="M2854" s="47"/>
      <c r="Q2854" s="47"/>
    </row>
    <row r="2855" spans="13:17" ht="12.75">
      <c r="M2855" s="47"/>
      <c r="Q2855" s="47"/>
    </row>
    <row r="2856" spans="13:17" ht="12.75">
      <c r="M2856" s="47"/>
      <c r="Q2856" s="47"/>
    </row>
    <row r="2857" spans="13:17" ht="12.75">
      <c r="M2857" s="47"/>
      <c r="Q2857" s="47"/>
    </row>
    <row r="2858" spans="13:17" ht="12.75">
      <c r="M2858" s="47"/>
      <c r="Q2858" s="47"/>
    </row>
    <row r="2859" spans="13:17" ht="12.75">
      <c r="M2859" s="47"/>
      <c r="Q2859" s="47"/>
    </row>
    <row r="2860" spans="13:17" ht="12.75">
      <c r="M2860" s="47"/>
      <c r="Q2860" s="47"/>
    </row>
    <row r="2861" spans="13:17" ht="12.75">
      <c r="M2861" s="47"/>
      <c r="Q2861" s="47"/>
    </row>
    <row r="2862" spans="13:17" ht="12.75">
      <c r="M2862" s="47"/>
      <c r="Q2862" s="47"/>
    </row>
    <row r="2863" spans="13:17" ht="12.75">
      <c r="M2863" s="47"/>
      <c r="Q2863" s="47"/>
    </row>
    <row r="2864" spans="13:17" ht="12.75">
      <c r="M2864" s="47"/>
      <c r="Q2864" s="47"/>
    </row>
    <row r="2865" spans="13:17" ht="12.75">
      <c r="M2865" s="47"/>
      <c r="Q2865" s="47"/>
    </row>
    <row r="2866" spans="13:17" ht="12.75">
      <c r="M2866" s="47"/>
      <c r="Q2866" s="47"/>
    </row>
    <row r="2867" spans="13:17" ht="12.75">
      <c r="M2867" s="47"/>
      <c r="Q2867" s="47"/>
    </row>
    <row r="2868" spans="13:17" ht="12.75">
      <c r="M2868" s="47"/>
      <c r="Q2868" s="47"/>
    </row>
    <row r="2869" spans="13:17" ht="12.75">
      <c r="M2869" s="47"/>
      <c r="Q2869" s="47"/>
    </row>
    <row r="2870" spans="13:17" ht="12.75">
      <c r="M2870" s="47"/>
      <c r="Q2870" s="47"/>
    </row>
    <row r="2871" spans="13:17" ht="12.75">
      <c r="M2871" s="47"/>
      <c r="Q2871" s="47"/>
    </row>
    <row r="2872" spans="13:17" ht="12.75">
      <c r="M2872" s="47"/>
      <c r="Q2872" s="47"/>
    </row>
    <row r="2873" spans="13:17" ht="12.75">
      <c r="M2873" s="47"/>
      <c r="Q2873" s="47"/>
    </row>
    <row r="2874" spans="13:17" ht="12.75">
      <c r="M2874" s="47"/>
      <c r="Q2874" s="47"/>
    </row>
    <row r="2875" spans="13:17" ht="12.75">
      <c r="M2875" s="47"/>
      <c r="Q2875" s="47"/>
    </row>
    <row r="2876" spans="13:17" ht="12.75">
      <c r="M2876" s="47"/>
      <c r="Q2876" s="47"/>
    </row>
    <row r="2877" spans="13:17" ht="12.75">
      <c r="M2877" s="47"/>
      <c r="Q2877" s="47"/>
    </row>
    <row r="2878" spans="13:17" ht="12.75">
      <c r="M2878" s="47"/>
      <c r="Q2878" s="47"/>
    </row>
    <row r="2879" spans="13:17" ht="12.75">
      <c r="M2879" s="47"/>
      <c r="Q2879" s="47"/>
    </row>
    <row r="2880" spans="13:17" ht="12.75">
      <c r="M2880" s="47"/>
      <c r="Q2880" s="47"/>
    </row>
    <row r="2881" spans="13:17" ht="12.75">
      <c r="M2881" s="47"/>
      <c r="Q2881" s="47"/>
    </row>
    <row r="2882" spans="13:17" ht="12.75">
      <c r="M2882" s="47"/>
      <c r="Q2882" s="47"/>
    </row>
    <row r="2883" spans="13:17" ht="12.75">
      <c r="M2883" s="47"/>
      <c r="Q2883" s="47"/>
    </row>
    <row r="2884" spans="13:17" ht="12.75">
      <c r="M2884" s="47"/>
      <c r="Q2884" s="47"/>
    </row>
    <row r="2885" spans="13:17" ht="12.75">
      <c r="M2885" s="47"/>
      <c r="Q2885" s="47"/>
    </row>
    <row r="2886" spans="13:17" ht="12.75">
      <c r="M2886" s="47"/>
      <c r="Q2886" s="47"/>
    </row>
    <row r="2887" spans="13:17" ht="12.75">
      <c r="M2887" s="47"/>
      <c r="Q2887" s="47"/>
    </row>
    <row r="2888" spans="13:17" ht="12.75">
      <c r="M2888" s="47"/>
      <c r="Q2888" s="47"/>
    </row>
    <row r="2889" spans="13:17" ht="12.75">
      <c r="M2889" s="47"/>
      <c r="Q2889" s="47"/>
    </row>
    <row r="2890" spans="13:17" ht="12.75">
      <c r="M2890" s="47"/>
      <c r="Q2890" s="47"/>
    </row>
    <row r="2891" spans="13:17" ht="12.75">
      <c r="M2891" s="47"/>
      <c r="Q2891" s="47"/>
    </row>
    <row r="2892" spans="13:17" ht="12.75">
      <c r="M2892" s="47"/>
      <c r="Q2892" s="47"/>
    </row>
    <row r="2893" spans="13:17" ht="12.75">
      <c r="M2893" s="47"/>
      <c r="Q2893" s="47"/>
    </row>
    <row r="2894" spans="13:17" ht="12.75">
      <c r="M2894" s="47"/>
      <c r="Q2894" s="47"/>
    </row>
    <row r="2895" spans="13:17" ht="12.75">
      <c r="M2895" s="47"/>
      <c r="Q2895" s="47"/>
    </row>
    <row r="2896" spans="13:17" ht="12.75">
      <c r="M2896" s="47"/>
      <c r="Q2896" s="47"/>
    </row>
    <row r="2897" spans="13:17" ht="12.75">
      <c r="M2897" s="47"/>
      <c r="Q2897" s="47"/>
    </row>
    <row r="2898" spans="13:17" ht="12.75">
      <c r="M2898" s="47"/>
      <c r="Q2898" s="47"/>
    </row>
    <row r="2899" spans="13:17" ht="12.75">
      <c r="M2899" s="47"/>
      <c r="Q2899" s="47"/>
    </row>
    <row r="2900" spans="13:17" ht="12.75">
      <c r="M2900" s="47"/>
      <c r="Q2900" s="47"/>
    </row>
    <row r="2901" spans="13:17" ht="12.75">
      <c r="M2901" s="47"/>
      <c r="Q2901" s="47"/>
    </row>
    <row r="2902" spans="13:17" ht="12.75">
      <c r="M2902" s="47"/>
      <c r="Q2902" s="47"/>
    </row>
    <row r="2903" spans="13:17" ht="12.75">
      <c r="M2903" s="47"/>
      <c r="Q2903" s="47"/>
    </row>
    <row r="2904" spans="13:17" ht="12.75">
      <c r="M2904" s="47"/>
      <c r="Q2904" s="47"/>
    </row>
    <row r="2905" spans="13:17" ht="12.75">
      <c r="M2905" s="47"/>
      <c r="Q2905" s="47"/>
    </row>
    <row r="2906" spans="13:17" ht="12.75">
      <c r="M2906" s="47"/>
      <c r="Q2906" s="47"/>
    </row>
    <row r="2907" spans="13:17" ht="12.75">
      <c r="M2907" s="47"/>
      <c r="Q2907" s="47"/>
    </row>
    <row r="2908" spans="13:17" ht="12.75">
      <c r="M2908" s="47"/>
      <c r="Q2908" s="47"/>
    </row>
    <row r="2909" spans="13:17" ht="12.75">
      <c r="M2909" s="47"/>
      <c r="Q2909" s="47"/>
    </row>
    <row r="2910" spans="13:17" ht="12.75">
      <c r="M2910" s="47"/>
      <c r="Q2910" s="47"/>
    </row>
    <row r="2911" spans="13:17" ht="12.75">
      <c r="M2911" s="47"/>
      <c r="Q2911" s="47"/>
    </row>
    <row r="2912" spans="13:17" ht="12.75">
      <c r="M2912" s="47"/>
      <c r="Q2912" s="47"/>
    </row>
    <row r="2913" spans="13:17" ht="12.75">
      <c r="M2913" s="47"/>
      <c r="Q2913" s="47"/>
    </row>
    <row r="2914" spans="13:17" ht="12.75">
      <c r="M2914" s="47"/>
      <c r="Q2914" s="47"/>
    </row>
    <row r="2915" spans="13:17" ht="12.75">
      <c r="M2915" s="47"/>
      <c r="Q2915" s="47"/>
    </row>
    <row r="2916" spans="13:17" ht="12.75">
      <c r="M2916" s="47"/>
      <c r="Q2916" s="47"/>
    </row>
    <row r="2917" spans="13:17" ht="12.75">
      <c r="M2917" s="47"/>
      <c r="Q2917" s="47"/>
    </row>
    <row r="2918" spans="13:17" ht="12.75">
      <c r="M2918" s="47"/>
      <c r="Q2918" s="47"/>
    </row>
    <row r="2919" spans="13:17" ht="12.75">
      <c r="M2919" s="47"/>
      <c r="Q2919" s="47"/>
    </row>
    <row r="2920" spans="13:17" ht="12.75">
      <c r="M2920" s="47"/>
      <c r="Q2920" s="47"/>
    </row>
    <row r="2921" spans="13:17" ht="12.75">
      <c r="M2921" s="47"/>
      <c r="Q2921" s="47"/>
    </row>
    <row r="2922" spans="13:17" ht="12.75">
      <c r="M2922" s="47"/>
      <c r="Q2922" s="47"/>
    </row>
    <row r="2923" spans="13:17" ht="12.75">
      <c r="M2923" s="47"/>
      <c r="Q2923" s="47"/>
    </row>
    <row r="2924" spans="13:17" ht="12.75">
      <c r="M2924" s="47"/>
      <c r="Q2924" s="47"/>
    </row>
    <row r="2925" spans="13:17" ht="12.75">
      <c r="M2925" s="47"/>
      <c r="Q2925" s="47"/>
    </row>
    <row r="2926" spans="13:17" ht="12.75">
      <c r="M2926" s="47"/>
      <c r="Q2926" s="47"/>
    </row>
    <row r="2927" spans="13:17" ht="12.75">
      <c r="M2927" s="47"/>
      <c r="Q2927" s="47"/>
    </row>
    <row r="2928" spans="13:17" ht="12.75">
      <c r="M2928" s="47"/>
      <c r="Q2928" s="47"/>
    </row>
    <row r="2929" spans="13:17" ht="12.75">
      <c r="M2929" s="47"/>
      <c r="Q2929" s="47"/>
    </row>
    <row r="2930" spans="13:17" ht="12.75">
      <c r="M2930" s="47"/>
      <c r="Q2930" s="47"/>
    </row>
    <row r="2931" spans="13:17" ht="12.75">
      <c r="M2931" s="47"/>
      <c r="Q2931" s="47"/>
    </row>
    <row r="2932" spans="13:17" ht="12.75">
      <c r="M2932" s="47"/>
      <c r="Q2932" s="47"/>
    </row>
    <row r="2933" spans="13:17" ht="12.75">
      <c r="M2933" s="47"/>
      <c r="Q2933" s="47"/>
    </row>
    <row r="2934" spans="13:17" ht="12.75">
      <c r="M2934" s="47"/>
      <c r="Q2934" s="47"/>
    </row>
    <row r="2935" spans="13:17" ht="12.75">
      <c r="M2935" s="47"/>
      <c r="Q2935" s="47"/>
    </row>
    <row r="2936" spans="13:17" ht="12.75">
      <c r="M2936" s="47"/>
      <c r="Q2936" s="47"/>
    </row>
    <row r="2937" spans="13:17" ht="12.75">
      <c r="M2937" s="47"/>
      <c r="Q2937" s="47"/>
    </row>
    <row r="2938" spans="13:17" ht="12.75">
      <c r="M2938" s="47"/>
      <c r="Q2938" s="47"/>
    </row>
    <row r="2939" spans="13:17" ht="12.75">
      <c r="M2939" s="47"/>
      <c r="Q2939" s="47"/>
    </row>
    <row r="2940" spans="13:17" ht="12.75">
      <c r="M2940" s="47"/>
      <c r="Q2940" s="47"/>
    </row>
    <row r="2941" spans="13:17" ht="12.75">
      <c r="M2941" s="47"/>
      <c r="Q2941" s="47"/>
    </row>
    <row r="2942" spans="13:17" ht="12.75">
      <c r="M2942" s="47"/>
      <c r="Q2942" s="47"/>
    </row>
    <row r="2943" spans="13:17" ht="12.75">
      <c r="M2943" s="47"/>
      <c r="Q2943" s="47"/>
    </row>
    <row r="2944" spans="13:17" ht="12.75">
      <c r="M2944" s="47"/>
      <c r="Q2944" s="47"/>
    </row>
    <row r="2945" spans="13:17" ht="12.75">
      <c r="M2945" s="47"/>
      <c r="Q2945" s="47"/>
    </row>
    <row r="2946" spans="13:17" ht="12.75">
      <c r="M2946" s="47"/>
      <c r="Q2946" s="47"/>
    </row>
    <row r="2947" spans="13:17" ht="12.75">
      <c r="M2947" s="47"/>
      <c r="Q2947" s="47"/>
    </row>
    <row r="2948" spans="13:17" ht="12.75">
      <c r="M2948" s="47"/>
      <c r="Q2948" s="47"/>
    </row>
    <row r="2949" spans="13:17" ht="12.75">
      <c r="M2949" s="47"/>
      <c r="Q2949" s="47"/>
    </row>
    <row r="2950" spans="13:17" ht="12.75">
      <c r="M2950" s="47"/>
      <c r="Q2950" s="47"/>
    </row>
    <row r="2951" spans="13:17" ht="12.75">
      <c r="M2951" s="47"/>
      <c r="Q2951" s="47"/>
    </row>
    <row r="2952" spans="13:17" ht="12.75">
      <c r="M2952" s="47"/>
      <c r="Q2952" s="47"/>
    </row>
    <row r="2953" spans="13:17" ht="12.75">
      <c r="M2953" s="47"/>
      <c r="Q2953" s="47"/>
    </row>
    <row r="2954" spans="13:17" ht="12.75">
      <c r="M2954" s="47"/>
      <c r="Q2954" s="47"/>
    </row>
    <row r="2955" spans="13:17" ht="12.75">
      <c r="M2955" s="47"/>
      <c r="Q2955" s="47"/>
    </row>
    <row r="2956" spans="13:17" ht="12.75">
      <c r="M2956" s="47"/>
      <c r="Q2956" s="47"/>
    </row>
    <row r="2957" spans="13:17" ht="12.75">
      <c r="M2957" s="47"/>
      <c r="Q2957" s="47"/>
    </row>
    <row r="2958" spans="13:17" ht="12.75">
      <c r="M2958" s="47"/>
      <c r="Q2958" s="47"/>
    </row>
    <row r="2959" spans="13:17" ht="12.75">
      <c r="M2959" s="47"/>
      <c r="Q2959" s="47"/>
    </row>
    <row r="2960" spans="13:17" ht="12.75">
      <c r="M2960" s="47"/>
      <c r="Q2960" s="47"/>
    </row>
    <row r="2961" spans="13:17" ht="12.75">
      <c r="M2961" s="47"/>
      <c r="Q2961" s="47"/>
    </row>
    <row r="2962" spans="13:17" ht="12.75">
      <c r="M2962" s="47"/>
      <c r="Q2962" s="47"/>
    </row>
    <row r="2963" spans="13:17" ht="12.75">
      <c r="M2963" s="47"/>
      <c r="Q2963" s="47"/>
    </row>
    <row r="2964" spans="13:17" ht="12.75">
      <c r="M2964" s="47"/>
      <c r="Q2964" s="47"/>
    </row>
    <row r="2965" spans="13:17" ht="12.75">
      <c r="M2965" s="47"/>
      <c r="Q2965" s="47"/>
    </row>
    <row r="2966" spans="13:17" ht="12.75">
      <c r="M2966" s="47"/>
      <c r="Q2966" s="47"/>
    </row>
    <row r="2967" spans="13:17" ht="12.75">
      <c r="M2967" s="47"/>
      <c r="Q2967" s="47"/>
    </row>
    <row r="2968" spans="13:17" ht="12.75">
      <c r="M2968" s="47"/>
      <c r="Q2968" s="47"/>
    </row>
    <row r="2969" spans="13:17" ht="12.75">
      <c r="M2969" s="47"/>
      <c r="Q2969" s="47"/>
    </row>
    <row r="2970" spans="13:17" ht="12.75">
      <c r="M2970" s="47"/>
      <c r="Q2970" s="47"/>
    </row>
    <row r="2971" spans="13:17" ht="12.75">
      <c r="M2971" s="47"/>
      <c r="Q2971" s="47"/>
    </row>
    <row r="2972" spans="13:17" ht="12.75">
      <c r="M2972" s="47"/>
      <c r="Q2972" s="47"/>
    </row>
    <row r="2973" spans="13:17" ht="12.75">
      <c r="M2973" s="47"/>
      <c r="Q2973" s="47"/>
    </row>
    <row r="2974" spans="13:17" ht="12.75">
      <c r="M2974" s="47"/>
      <c r="Q2974" s="47"/>
    </row>
    <row r="2975" spans="13:17" ht="12.75">
      <c r="M2975" s="47"/>
      <c r="Q2975" s="47"/>
    </row>
    <row r="2976" spans="13:17" ht="12.75">
      <c r="M2976" s="47"/>
      <c r="Q2976" s="47"/>
    </row>
    <row r="2977" spans="13:17" ht="12.75">
      <c r="M2977" s="47"/>
      <c r="Q2977" s="47"/>
    </row>
    <row r="2978" spans="13:17" ht="12.75">
      <c r="M2978" s="47"/>
      <c r="Q2978" s="47"/>
    </row>
    <row r="2979" spans="13:17" ht="12.75">
      <c r="M2979" s="47"/>
      <c r="Q2979" s="47"/>
    </row>
    <row r="2980" spans="13:17" ht="12.75">
      <c r="M2980" s="47"/>
      <c r="Q2980" s="47"/>
    </row>
    <row r="2981" spans="13:17" ht="12.75">
      <c r="M2981" s="47"/>
      <c r="Q2981" s="47"/>
    </row>
    <row r="2982" spans="13:17" ht="12.75">
      <c r="M2982" s="47"/>
      <c r="Q2982" s="47"/>
    </row>
    <row r="2983" spans="13:17" ht="12.75">
      <c r="M2983" s="47"/>
      <c r="Q2983" s="47"/>
    </row>
    <row r="2984" spans="13:17" ht="12.75">
      <c r="M2984" s="47"/>
      <c r="Q2984" s="47"/>
    </row>
    <row r="2985" spans="13:17" ht="12.75">
      <c r="M2985" s="47"/>
      <c r="Q2985" s="47"/>
    </row>
    <row r="2986" spans="13:17" ht="12.75">
      <c r="M2986" s="47"/>
      <c r="Q2986" s="47"/>
    </row>
    <row r="2987" spans="13:17" ht="12.75">
      <c r="M2987" s="47"/>
      <c r="Q2987" s="47"/>
    </row>
    <row r="2988" spans="13:17" ht="12.75">
      <c r="M2988" s="47"/>
      <c r="Q2988" s="47"/>
    </row>
    <row r="2989" spans="13:17" ht="12.75">
      <c r="M2989" s="47"/>
      <c r="Q2989" s="47"/>
    </row>
    <row r="2990" spans="13:17" ht="12.75">
      <c r="M2990" s="47"/>
      <c r="Q2990" s="47"/>
    </row>
    <row r="2991" spans="13:17" ht="12.75">
      <c r="M2991" s="47"/>
      <c r="Q2991" s="47"/>
    </row>
    <row r="2992" spans="13:17" ht="12.75">
      <c r="M2992" s="47"/>
      <c r="Q2992" s="47"/>
    </row>
    <row r="2993" spans="13:17" ht="12.75">
      <c r="M2993" s="47"/>
      <c r="Q2993" s="47"/>
    </row>
    <row r="2994" spans="13:17" ht="12.75">
      <c r="M2994" s="47"/>
      <c r="Q2994" s="47"/>
    </row>
    <row r="2995" spans="13:17" ht="12.75">
      <c r="M2995" s="47"/>
      <c r="Q2995" s="47"/>
    </row>
    <row r="2996" spans="13:17" ht="12.75">
      <c r="M2996" s="47"/>
      <c r="Q2996" s="47"/>
    </row>
    <row r="2997" spans="13:17" ht="12.75">
      <c r="M2997" s="47"/>
      <c r="Q2997" s="47"/>
    </row>
    <row r="2998" spans="13:17" ht="12.75">
      <c r="M2998" s="47"/>
      <c r="Q2998" s="47"/>
    </row>
    <row r="2999" spans="13:17" ht="12.75">
      <c r="M2999" s="47"/>
      <c r="Q2999" s="47"/>
    </row>
    <row r="3000" spans="13:17" ht="12.75">
      <c r="M3000" s="47"/>
      <c r="Q3000" s="47"/>
    </row>
    <row r="3001" spans="13:17" ht="12.75">
      <c r="M3001" s="47"/>
      <c r="Q3001" s="47"/>
    </row>
    <row r="3002" spans="13:17" ht="12.75">
      <c r="M3002" s="47"/>
      <c r="Q3002" s="47"/>
    </row>
    <row r="3003" spans="13:17" ht="12.75">
      <c r="M3003" s="47"/>
      <c r="Q3003" s="47"/>
    </row>
    <row r="3004" spans="13:17" ht="12.75">
      <c r="M3004" s="47"/>
      <c r="Q3004" s="47"/>
    </row>
    <row r="3005" spans="13:17" ht="12.75">
      <c r="M3005" s="47"/>
      <c r="Q3005" s="47"/>
    </row>
    <row r="3006" spans="13:17" ht="12.75">
      <c r="M3006" s="47"/>
      <c r="Q3006" s="47"/>
    </row>
    <row r="3007" spans="13:17" ht="12.75">
      <c r="M3007" s="47"/>
      <c r="Q3007" s="47"/>
    </row>
    <row r="3008" spans="13:17" ht="12.75">
      <c r="M3008" s="47"/>
      <c r="Q3008" s="47"/>
    </row>
    <row r="3009" spans="13:17" ht="12.75">
      <c r="M3009" s="47"/>
      <c r="Q3009" s="47"/>
    </row>
    <row r="3010" spans="13:17" ht="12.75">
      <c r="M3010" s="47"/>
      <c r="Q3010" s="47"/>
    </row>
    <row r="3011" spans="13:17" ht="12.75">
      <c r="M3011" s="47"/>
      <c r="Q3011" s="47"/>
    </row>
    <row r="3012" spans="13:17" ht="12.75">
      <c r="M3012" s="47"/>
      <c r="Q3012" s="47"/>
    </row>
    <row r="3013" spans="13:17" ht="12.75">
      <c r="M3013" s="47"/>
      <c r="Q3013" s="47"/>
    </row>
    <row r="3014" spans="13:17" ht="12.75">
      <c r="M3014" s="47"/>
      <c r="Q3014" s="47"/>
    </row>
    <row r="3015" spans="13:17" ht="12.75">
      <c r="M3015" s="47"/>
      <c r="Q3015" s="47"/>
    </row>
    <row r="3016" spans="13:17" ht="12.75">
      <c r="M3016" s="47"/>
      <c r="Q3016" s="47"/>
    </row>
    <row r="3017" spans="13:17" ht="12.75">
      <c r="M3017" s="47"/>
      <c r="Q3017" s="47"/>
    </row>
    <row r="3018" spans="13:17" ht="12.75">
      <c r="M3018" s="47"/>
      <c r="Q3018" s="47"/>
    </row>
    <row r="3019" spans="13:17" ht="12.75">
      <c r="M3019" s="47"/>
      <c r="Q3019" s="47"/>
    </row>
    <row r="3020" spans="13:17" ht="12.75">
      <c r="M3020" s="47"/>
      <c r="Q3020" s="47"/>
    </row>
    <row r="3021" spans="13:17" ht="12.75">
      <c r="M3021" s="47"/>
      <c r="Q3021" s="47"/>
    </row>
    <row r="3022" spans="13:17" ht="12.75">
      <c r="M3022" s="47"/>
      <c r="Q3022" s="47"/>
    </row>
    <row r="3023" spans="13:17" ht="12.75">
      <c r="M3023" s="47"/>
      <c r="Q3023" s="47"/>
    </row>
    <row r="3024" spans="13:17" ht="12.75">
      <c r="M3024" s="47"/>
      <c r="Q3024" s="47"/>
    </row>
    <row r="3025" spans="13:17" ht="12.75">
      <c r="M3025" s="47"/>
      <c r="Q3025" s="47"/>
    </row>
    <row r="3026" spans="13:17" ht="12.75">
      <c r="M3026" s="47"/>
      <c r="Q3026" s="47"/>
    </row>
    <row r="3027" spans="13:17" ht="12.75">
      <c r="M3027" s="47"/>
      <c r="Q3027" s="47"/>
    </row>
    <row r="3028" spans="13:17" ht="12.75">
      <c r="M3028" s="47"/>
      <c r="Q3028" s="47"/>
    </row>
    <row r="3029" spans="13:17" ht="12.75">
      <c r="M3029" s="47"/>
      <c r="Q3029" s="47"/>
    </row>
    <row r="3030" spans="13:17" ht="12.75">
      <c r="M3030" s="47"/>
      <c r="Q3030" s="47"/>
    </row>
    <row r="3031" spans="13:17" ht="12.75">
      <c r="M3031" s="47"/>
      <c r="Q3031" s="47"/>
    </row>
    <row r="3032" spans="13:17" ht="12.75">
      <c r="M3032" s="47"/>
      <c r="Q3032" s="47"/>
    </row>
    <row r="3033" spans="13:17" ht="12.75">
      <c r="M3033" s="47"/>
      <c r="Q3033" s="47"/>
    </row>
    <row r="3034" spans="13:17" ht="12.75">
      <c r="M3034" s="47"/>
      <c r="Q3034" s="47"/>
    </row>
    <row r="3035" spans="13:17" ht="12.75">
      <c r="M3035" s="47"/>
      <c r="Q3035" s="47"/>
    </row>
    <row r="3036" spans="13:17" ht="12.75">
      <c r="M3036" s="47"/>
      <c r="Q3036" s="47"/>
    </row>
    <row r="3037" spans="13:17" ht="12.75">
      <c r="M3037" s="47"/>
      <c r="Q3037" s="47"/>
    </row>
    <row r="3038" spans="13:17" ht="12.75">
      <c r="M3038" s="47"/>
      <c r="Q3038" s="47"/>
    </row>
    <row r="3039" spans="13:17" ht="12.75">
      <c r="M3039" s="47"/>
      <c r="Q3039" s="47"/>
    </row>
    <row r="3040" spans="13:17" ht="12.75">
      <c r="M3040" s="47"/>
      <c r="Q3040" s="47"/>
    </row>
    <row r="3041" spans="13:17" ht="12.75">
      <c r="M3041" s="47"/>
      <c r="Q3041" s="47"/>
    </row>
    <row r="3042" spans="13:17" ht="12.75">
      <c r="M3042" s="47"/>
      <c r="Q3042" s="47"/>
    </row>
    <row r="3043" spans="13:17" ht="12.75">
      <c r="M3043" s="47"/>
      <c r="Q3043" s="47"/>
    </row>
    <row r="3044" spans="13:17" ht="12.75">
      <c r="M3044" s="47"/>
      <c r="Q3044" s="47"/>
    </row>
    <row r="3045" spans="13:17" ht="12.75">
      <c r="M3045" s="47"/>
      <c r="Q3045" s="47"/>
    </row>
    <row r="3046" spans="13:17" ht="12.75">
      <c r="M3046" s="47"/>
      <c r="Q3046" s="47"/>
    </row>
    <row r="3047" spans="13:17" ht="12.75">
      <c r="M3047" s="47"/>
      <c r="Q3047" s="47"/>
    </row>
    <row r="3048" spans="13:17" ht="12.75">
      <c r="M3048" s="47"/>
      <c r="Q3048" s="47"/>
    </row>
    <row r="3049" spans="13:17" ht="12.75">
      <c r="M3049" s="47"/>
      <c r="Q3049" s="47"/>
    </row>
    <row r="3050" spans="13:17" ht="12.75">
      <c r="M3050" s="47"/>
      <c r="Q3050" s="47"/>
    </row>
    <row r="3051" spans="13:17" ht="12.75">
      <c r="M3051" s="47"/>
      <c r="Q3051" s="47"/>
    </row>
    <row r="3052" spans="13:17" ht="12.75">
      <c r="M3052" s="47"/>
      <c r="Q3052" s="47"/>
    </row>
    <row r="3053" spans="13:17" ht="12.75">
      <c r="M3053" s="47"/>
      <c r="Q3053" s="47"/>
    </row>
    <row r="3054" spans="13:17" ht="12.75">
      <c r="M3054" s="47"/>
      <c r="Q3054" s="47"/>
    </row>
    <row r="3055" spans="13:17" ht="12.75">
      <c r="M3055" s="47"/>
      <c r="Q3055" s="47"/>
    </row>
    <row r="3056" spans="13:17" ht="12.75">
      <c r="M3056" s="47"/>
      <c r="Q3056" s="47"/>
    </row>
    <row r="3057" spans="13:17" ht="12.75">
      <c r="M3057" s="47"/>
      <c r="Q3057" s="47"/>
    </row>
    <row r="3058" spans="13:17" ht="12.75">
      <c r="M3058" s="47"/>
      <c r="Q3058" s="47"/>
    </row>
    <row r="3059" spans="13:17" ht="12.75">
      <c r="M3059" s="47"/>
      <c r="Q3059" s="47"/>
    </row>
    <row r="3060" spans="13:17" ht="12.75">
      <c r="M3060" s="47"/>
      <c r="Q3060" s="47"/>
    </row>
    <row r="3061" spans="13:17" ht="12.75">
      <c r="M3061" s="47"/>
      <c r="Q3061" s="47"/>
    </row>
    <row r="3062" spans="13:17" ht="12.75">
      <c r="M3062" s="47"/>
      <c r="Q3062" s="47"/>
    </row>
    <row r="3063" spans="13:17" ht="12.75">
      <c r="M3063" s="47"/>
      <c r="Q3063" s="47"/>
    </row>
    <row r="3064" spans="13:17" ht="12.75">
      <c r="M3064" s="47"/>
      <c r="Q3064" s="47"/>
    </row>
    <row r="3065" spans="13:17" ht="12.75">
      <c r="M3065" s="47"/>
      <c r="Q3065" s="47"/>
    </row>
    <row r="3066" spans="13:17" ht="12.75">
      <c r="M3066" s="47"/>
      <c r="Q3066" s="47"/>
    </row>
    <row r="3067" spans="13:17" ht="12.75">
      <c r="M3067" s="47"/>
      <c r="Q3067" s="47"/>
    </row>
    <row r="3068" spans="13:17" ht="12.75">
      <c r="M3068" s="47"/>
      <c r="Q3068" s="47"/>
    </row>
    <row r="3069" spans="13:17" ht="12.75">
      <c r="M3069" s="47"/>
      <c r="Q3069" s="47"/>
    </row>
    <row r="3070" spans="13:17" ht="12.75">
      <c r="M3070" s="47"/>
      <c r="Q3070" s="47"/>
    </row>
    <row r="3071" spans="13:17" ht="12.75">
      <c r="M3071" s="47"/>
      <c r="Q3071" s="47"/>
    </row>
    <row r="3072" spans="13:17" ht="12.75">
      <c r="M3072" s="47"/>
      <c r="Q3072" s="47"/>
    </row>
    <row r="3073" spans="13:17" ht="12.75">
      <c r="M3073" s="47"/>
      <c r="Q3073" s="47"/>
    </row>
    <row r="3074" spans="13:17" ht="12.75">
      <c r="M3074" s="47"/>
      <c r="Q3074" s="47"/>
    </row>
    <row r="3075" spans="13:17" ht="12.75">
      <c r="M3075" s="47"/>
      <c r="Q3075" s="47"/>
    </row>
    <row r="3076" spans="13:17" ht="12.75">
      <c r="M3076" s="47"/>
      <c r="Q3076" s="47"/>
    </row>
    <row r="3077" spans="13:17" ht="12.75">
      <c r="M3077" s="47"/>
      <c r="Q3077" s="47"/>
    </row>
    <row r="3078" spans="13:17" ht="12.75">
      <c r="M3078" s="47"/>
      <c r="Q3078" s="47"/>
    </row>
    <row r="3079" spans="13:17" ht="12.75">
      <c r="M3079" s="47"/>
      <c r="Q3079" s="47"/>
    </row>
    <row r="3080" spans="13:17" ht="12.75">
      <c r="M3080" s="47"/>
      <c r="Q3080" s="47"/>
    </row>
    <row r="3081" spans="13:17" ht="12.75">
      <c r="M3081" s="47"/>
      <c r="Q3081" s="47"/>
    </row>
    <row r="3082" spans="13:17" ht="12.75">
      <c r="M3082" s="47"/>
      <c r="Q3082" s="47"/>
    </row>
    <row r="3083" spans="13:17" ht="12.75">
      <c r="M3083" s="47"/>
      <c r="Q3083" s="47"/>
    </row>
    <row r="3084" spans="13:17" ht="12.75">
      <c r="M3084" s="47"/>
      <c r="Q3084" s="47"/>
    </row>
    <row r="3085" spans="13:17" ht="12.75">
      <c r="M3085" s="47"/>
      <c r="Q3085" s="47"/>
    </row>
    <row r="3086" spans="13:17" ht="12.75">
      <c r="M3086" s="47"/>
      <c r="Q3086" s="47"/>
    </row>
    <row r="3087" spans="13:17" ht="12.75">
      <c r="M3087" s="47"/>
      <c r="Q3087" s="47"/>
    </row>
    <row r="3088" spans="13:17" ht="12.75">
      <c r="M3088" s="47"/>
      <c r="Q3088" s="47"/>
    </row>
    <row r="3089" spans="13:17" ht="12.75">
      <c r="M3089" s="47"/>
      <c r="Q3089" s="47"/>
    </row>
    <row r="3090" spans="13:17" ht="12.75">
      <c r="M3090" s="47"/>
      <c r="Q3090" s="47"/>
    </row>
    <row r="3091" spans="13:17" ht="12.75">
      <c r="M3091" s="47"/>
      <c r="Q3091" s="47"/>
    </row>
    <row r="3092" spans="13:17" ht="12.75">
      <c r="M3092" s="47"/>
      <c r="Q3092" s="47"/>
    </row>
    <row r="3093" spans="13:17" ht="12.75">
      <c r="M3093" s="47"/>
      <c r="Q3093" s="47"/>
    </row>
    <row r="3094" spans="13:17" ht="12.75">
      <c r="M3094" s="47"/>
      <c r="Q3094" s="47"/>
    </row>
    <row r="3095" spans="13:17" ht="12.75">
      <c r="M3095" s="47"/>
      <c r="Q3095" s="47"/>
    </row>
    <row r="3096" spans="13:17" ht="12.75">
      <c r="M3096" s="47"/>
      <c r="Q3096" s="47"/>
    </row>
    <row r="3097" spans="13:17" ht="12.75">
      <c r="M3097" s="47"/>
      <c r="Q3097" s="47"/>
    </row>
    <row r="3098" spans="13:17" ht="12.75">
      <c r="M3098" s="47"/>
      <c r="Q3098" s="47"/>
    </row>
    <row r="3099" spans="13:17" ht="12.75">
      <c r="M3099" s="47"/>
      <c r="Q3099" s="47"/>
    </row>
    <row r="3100" spans="13:17" ht="12.75">
      <c r="M3100" s="47"/>
      <c r="Q3100" s="47"/>
    </row>
    <row r="3101" spans="13:17" ht="12.75">
      <c r="M3101" s="47"/>
      <c r="Q3101" s="47"/>
    </row>
    <row r="3102" spans="13:17" ht="12.75">
      <c r="M3102" s="47"/>
      <c r="Q3102" s="47"/>
    </row>
    <row r="3103" spans="13:17" ht="12.75">
      <c r="M3103" s="47"/>
      <c r="Q3103" s="47"/>
    </row>
    <row r="3104" spans="13:17" ht="12.75">
      <c r="M3104" s="47"/>
      <c r="Q3104" s="47"/>
    </row>
    <row r="3105" spans="13:17" ht="12.75">
      <c r="M3105" s="47"/>
      <c r="Q3105" s="47"/>
    </row>
    <row r="3106" spans="13:17" ht="12.75">
      <c r="M3106" s="47"/>
      <c r="Q3106" s="47"/>
    </row>
    <row r="3107" spans="13:17" ht="12.75">
      <c r="M3107" s="47"/>
      <c r="Q3107" s="47"/>
    </row>
    <row r="3108" spans="13:17" ht="12.75">
      <c r="M3108" s="47"/>
      <c r="Q3108" s="47"/>
    </row>
    <row r="3109" spans="13:17" ht="12.75">
      <c r="M3109" s="47"/>
      <c r="Q3109" s="47"/>
    </row>
    <row r="3110" spans="13:17" ht="12.75">
      <c r="M3110" s="47"/>
      <c r="Q3110" s="47"/>
    </row>
    <row r="3111" spans="13:17" ht="12.75">
      <c r="M3111" s="47"/>
      <c r="Q3111" s="47"/>
    </row>
    <row r="3112" spans="13:17" ht="12.75">
      <c r="M3112" s="47"/>
      <c r="Q3112" s="47"/>
    </row>
    <row r="3113" spans="13:17" ht="12.75">
      <c r="M3113" s="47"/>
      <c r="Q3113" s="47"/>
    </row>
    <row r="3114" spans="13:17" ht="12.75">
      <c r="M3114" s="47"/>
      <c r="Q3114" s="47"/>
    </row>
    <row r="3115" spans="13:17" ht="12.75">
      <c r="M3115" s="47"/>
      <c r="Q3115" s="47"/>
    </row>
    <row r="3116" spans="13:17" ht="12.75">
      <c r="M3116" s="47"/>
      <c r="Q3116" s="47"/>
    </row>
    <row r="3117" spans="13:17" ht="12.75">
      <c r="M3117" s="47"/>
      <c r="Q3117" s="47"/>
    </row>
    <row r="3118" spans="13:17" ht="12.75">
      <c r="M3118" s="47"/>
      <c r="Q3118" s="47"/>
    </row>
    <row r="3119" spans="13:17" ht="12.75">
      <c r="M3119" s="47"/>
      <c r="Q3119" s="47"/>
    </row>
    <row r="3120" spans="13:17" ht="12.75">
      <c r="M3120" s="47"/>
      <c r="Q3120" s="47"/>
    </row>
    <row r="3121" spans="13:17" ht="12.75">
      <c r="M3121" s="47"/>
      <c r="Q3121" s="47"/>
    </row>
    <row r="3122" spans="13:17" ht="12.75">
      <c r="M3122" s="47"/>
      <c r="Q3122" s="47"/>
    </row>
    <row r="3123" spans="13:17" ht="12.75">
      <c r="M3123" s="47"/>
      <c r="Q3123" s="47"/>
    </row>
    <row r="3124" spans="13:17" ht="12.75">
      <c r="M3124" s="47"/>
      <c r="Q3124" s="47"/>
    </row>
    <row r="3125" spans="13:17" ht="12.75">
      <c r="M3125" s="47"/>
      <c r="Q3125" s="47"/>
    </row>
    <row r="3126" spans="13:17" ht="12.75">
      <c r="M3126" s="47"/>
      <c r="Q3126" s="47"/>
    </row>
    <row r="3127" spans="13:17" ht="12.75">
      <c r="M3127" s="47"/>
      <c r="Q3127" s="47"/>
    </row>
    <row r="3128" spans="13:17" ht="12.75">
      <c r="M3128" s="47"/>
      <c r="Q3128" s="47"/>
    </row>
    <row r="3129" spans="13:17" ht="12.75">
      <c r="M3129" s="47"/>
      <c r="Q3129" s="47"/>
    </row>
    <row r="3130" spans="13:17" ht="12.75">
      <c r="M3130" s="47"/>
      <c r="Q3130" s="47"/>
    </row>
    <row r="3131" spans="13:17" ht="12.75">
      <c r="M3131" s="47"/>
      <c r="Q3131" s="47"/>
    </row>
    <row r="3132" spans="13:17" ht="12.75">
      <c r="M3132" s="47"/>
      <c r="Q3132" s="47"/>
    </row>
    <row r="3133" spans="13:17" ht="12.75">
      <c r="M3133" s="47"/>
      <c r="Q3133" s="47"/>
    </row>
    <row r="3134" spans="13:17" ht="12.75">
      <c r="M3134" s="47"/>
      <c r="Q3134" s="47"/>
    </row>
    <row r="3135" spans="13:17" ht="12.75">
      <c r="M3135" s="47"/>
      <c r="Q3135" s="47"/>
    </row>
    <row r="3136" spans="13:17" ht="12.75">
      <c r="M3136" s="47"/>
      <c r="Q3136" s="47"/>
    </row>
    <row r="3137" spans="13:17" ht="12.75">
      <c r="M3137" s="47"/>
      <c r="Q3137" s="47"/>
    </row>
    <row r="3138" spans="13:17" ht="12.75">
      <c r="M3138" s="47"/>
      <c r="Q3138" s="47"/>
    </row>
    <row r="3139" spans="13:17" ht="12.75">
      <c r="M3139" s="47"/>
      <c r="Q3139" s="47"/>
    </row>
    <row r="3140" spans="13:17" ht="12.75">
      <c r="M3140" s="47"/>
      <c r="Q3140" s="47"/>
    </row>
    <row r="3141" spans="13:17" ht="12.75">
      <c r="M3141" s="47"/>
      <c r="Q3141" s="47"/>
    </row>
    <row r="3142" spans="13:17" ht="12.75">
      <c r="M3142" s="47"/>
      <c r="Q3142" s="47"/>
    </row>
    <row r="3143" spans="13:17" ht="12.75">
      <c r="M3143" s="47"/>
      <c r="Q3143" s="47"/>
    </row>
    <row r="3144" spans="13:17" ht="12.75">
      <c r="M3144" s="47"/>
      <c r="Q3144" s="47"/>
    </row>
    <row r="3145" spans="13:17" ht="12.75">
      <c r="M3145" s="47"/>
      <c r="Q3145" s="47"/>
    </row>
    <row r="3146" spans="13:17" ht="12.75">
      <c r="M3146" s="47"/>
      <c r="Q3146" s="47"/>
    </row>
    <row r="3147" spans="13:17" ht="12.75">
      <c r="M3147" s="47"/>
      <c r="Q3147" s="47"/>
    </row>
    <row r="3148" spans="13:17" ht="12.75">
      <c r="M3148" s="47"/>
      <c r="Q3148" s="47"/>
    </row>
    <row r="3149" spans="13:17" ht="12.75">
      <c r="M3149" s="47"/>
      <c r="Q3149" s="47"/>
    </row>
    <row r="3150" spans="13:17" ht="12.75">
      <c r="M3150" s="47"/>
      <c r="Q3150" s="47"/>
    </row>
    <row r="3151" spans="13:17" ht="12.75">
      <c r="M3151" s="47"/>
      <c r="Q3151" s="47"/>
    </row>
    <row r="3152" spans="13:17" ht="12.75">
      <c r="M3152" s="47"/>
      <c r="Q3152" s="47"/>
    </row>
    <row r="3153" spans="13:17" ht="12.75">
      <c r="M3153" s="47"/>
      <c r="Q3153" s="47"/>
    </row>
    <row r="3154" spans="13:17" ht="12.75">
      <c r="M3154" s="47"/>
      <c r="Q3154" s="47"/>
    </row>
    <row r="3155" spans="13:17" ht="12.75">
      <c r="M3155" s="47"/>
      <c r="Q3155" s="47"/>
    </row>
    <row r="3156" spans="13:17" ht="12.75">
      <c r="M3156" s="47"/>
      <c r="Q3156" s="47"/>
    </row>
    <row r="3157" spans="13:17" ht="12.75">
      <c r="M3157" s="47"/>
      <c r="Q3157" s="47"/>
    </row>
    <row r="3158" spans="13:17" ht="12.75">
      <c r="M3158" s="47"/>
      <c r="Q3158" s="47"/>
    </row>
    <row r="3159" spans="13:17" ht="12.75">
      <c r="M3159" s="47"/>
      <c r="Q3159" s="47"/>
    </row>
    <row r="3160" spans="13:17" ht="12.75">
      <c r="M3160" s="47"/>
      <c r="Q3160" s="47"/>
    </row>
    <row r="3161" spans="13:17" ht="12.75">
      <c r="M3161" s="47"/>
      <c r="Q3161" s="47"/>
    </row>
    <row r="3162" spans="13:17" ht="12.75">
      <c r="M3162" s="47"/>
      <c r="Q3162" s="47"/>
    </row>
    <row r="3163" spans="13:17" ht="12.75">
      <c r="M3163" s="47"/>
      <c r="Q3163" s="47"/>
    </row>
    <row r="3164" spans="13:17" ht="12.75">
      <c r="M3164" s="47"/>
      <c r="Q3164" s="47"/>
    </row>
    <row r="3165" spans="13:17" ht="12.75">
      <c r="M3165" s="47"/>
      <c r="Q3165" s="47"/>
    </row>
    <row r="3166" spans="13:17" ht="12.75">
      <c r="M3166" s="47"/>
      <c r="Q3166" s="47"/>
    </row>
    <row r="3167" spans="13:17" ht="12.75">
      <c r="M3167" s="47"/>
      <c r="Q3167" s="47"/>
    </row>
    <row r="3168" spans="13:17" ht="12.75">
      <c r="M3168" s="47"/>
      <c r="Q3168" s="47"/>
    </row>
    <row r="3169" spans="13:17" ht="12.75">
      <c r="M3169" s="47"/>
      <c r="Q3169" s="47"/>
    </row>
    <row r="3170" spans="13:17" ht="12.75">
      <c r="M3170" s="47"/>
      <c r="Q3170" s="47"/>
    </row>
    <row r="3171" spans="13:17" ht="12.75">
      <c r="M3171" s="47"/>
      <c r="Q3171" s="47"/>
    </row>
    <row r="3172" spans="13:17" ht="12.75">
      <c r="M3172" s="47"/>
      <c r="Q3172" s="47"/>
    </row>
    <row r="3173" spans="13:17" ht="12.75">
      <c r="M3173" s="47"/>
      <c r="Q3173" s="47"/>
    </row>
    <row r="3174" spans="13:17" ht="12.75">
      <c r="M3174" s="47"/>
      <c r="Q3174" s="47"/>
    </row>
    <row r="3175" spans="13:17" ht="12.75">
      <c r="M3175" s="47"/>
      <c r="Q3175" s="47"/>
    </row>
    <row r="3176" spans="13:17" ht="12.75">
      <c r="M3176" s="47"/>
      <c r="Q3176" s="47"/>
    </row>
    <row r="3177" spans="13:17" ht="12.75">
      <c r="M3177" s="47"/>
      <c r="Q3177" s="47"/>
    </row>
    <row r="3178" spans="13:17" ht="12.75">
      <c r="M3178" s="47"/>
      <c r="Q3178" s="47"/>
    </row>
    <row r="3179" spans="13:17" ht="12.75">
      <c r="M3179" s="47"/>
      <c r="Q3179" s="47"/>
    </row>
    <row r="3180" spans="13:17" ht="12.75">
      <c r="M3180" s="47"/>
      <c r="Q3180" s="47"/>
    </row>
    <row r="3181" spans="13:17" ht="12.75">
      <c r="M3181" s="47"/>
      <c r="Q3181" s="47"/>
    </row>
    <row r="3182" spans="13:17" ht="12.75">
      <c r="M3182" s="47"/>
      <c r="Q3182" s="47"/>
    </row>
    <row r="3183" spans="13:17" ht="12.75">
      <c r="M3183" s="47"/>
      <c r="Q3183" s="47"/>
    </row>
    <row r="3184" spans="13:17" ht="12.75">
      <c r="M3184" s="47"/>
      <c r="Q3184" s="47"/>
    </row>
    <row r="3185" spans="13:17" ht="12.75">
      <c r="M3185" s="47"/>
      <c r="Q3185" s="47"/>
    </row>
    <row r="3186" spans="13:17" ht="12.75">
      <c r="M3186" s="47"/>
      <c r="Q3186" s="47"/>
    </row>
    <row r="3187" spans="13:17" ht="12.75">
      <c r="M3187" s="47"/>
      <c r="Q3187" s="47"/>
    </row>
    <row r="3188" spans="13:17" ht="12.75">
      <c r="M3188" s="47"/>
      <c r="Q3188" s="47"/>
    </row>
    <row r="3189" spans="13:17" ht="12.75">
      <c r="M3189" s="47"/>
      <c r="Q3189" s="47"/>
    </row>
    <row r="3190" spans="13:17" ht="12.75">
      <c r="M3190" s="47"/>
      <c r="Q3190" s="47"/>
    </row>
    <row r="3191" spans="13:17" ht="12.75">
      <c r="M3191" s="47"/>
      <c r="Q3191" s="47"/>
    </row>
    <row r="3192" spans="13:17" ht="12.75">
      <c r="M3192" s="47"/>
      <c r="Q3192" s="47"/>
    </row>
    <row r="3193" spans="13:17" ht="12.75">
      <c r="M3193" s="47"/>
      <c r="Q3193" s="47"/>
    </row>
    <row r="3194" spans="13:17" ht="12.75">
      <c r="M3194" s="47"/>
      <c r="Q3194" s="47"/>
    </row>
    <row r="3195" spans="13:17" ht="12.75">
      <c r="M3195" s="47"/>
      <c r="Q3195" s="47"/>
    </row>
    <row r="3196" spans="13:17" ht="12.75">
      <c r="M3196" s="47"/>
      <c r="Q3196" s="47"/>
    </row>
    <row r="3197" spans="13:17" ht="12.75">
      <c r="M3197" s="47"/>
      <c r="Q3197" s="47"/>
    </row>
    <row r="3198" spans="13:17" ht="12.75">
      <c r="M3198" s="47"/>
      <c r="Q3198" s="47"/>
    </row>
    <row r="3199" spans="13:17" ht="12.75">
      <c r="M3199" s="47"/>
      <c r="Q3199" s="47"/>
    </row>
    <row r="3200" spans="13:17" ht="12.75">
      <c r="M3200" s="47"/>
      <c r="Q3200" s="47"/>
    </row>
    <row r="3201" spans="13:17" ht="12.75">
      <c r="M3201" s="47"/>
      <c r="Q3201" s="47"/>
    </row>
    <row r="3202" spans="13:17" ht="12.75">
      <c r="M3202" s="47"/>
      <c r="Q3202" s="47"/>
    </row>
    <row r="3203" spans="13:17" ht="12.75">
      <c r="M3203" s="47"/>
      <c r="Q3203" s="47"/>
    </row>
    <row r="3204" spans="13:17" ht="12.75">
      <c r="M3204" s="47"/>
      <c r="Q3204" s="47"/>
    </row>
    <row r="3205" spans="13:17" ht="12.75">
      <c r="M3205" s="47"/>
      <c r="Q3205" s="47"/>
    </row>
    <row r="3206" spans="13:17" ht="12.75">
      <c r="M3206" s="47"/>
      <c r="Q3206" s="47"/>
    </row>
    <row r="3207" spans="13:17" ht="12.75">
      <c r="M3207" s="47"/>
      <c r="Q3207" s="47"/>
    </row>
    <row r="3208" spans="13:17" ht="12.75">
      <c r="M3208" s="47"/>
      <c r="Q3208" s="47"/>
    </row>
    <row r="3209" spans="13:17" ht="12.75">
      <c r="M3209" s="47"/>
      <c r="Q3209" s="47"/>
    </row>
    <row r="3210" spans="13:17" ht="12.75">
      <c r="M3210" s="47"/>
      <c r="Q3210" s="47"/>
    </row>
    <row r="3211" spans="13:17" ht="12.75">
      <c r="M3211" s="47"/>
      <c r="Q3211" s="47"/>
    </row>
    <row r="3212" spans="13:17" ht="12.75">
      <c r="M3212" s="47"/>
      <c r="Q3212" s="47"/>
    </row>
    <row r="3213" spans="13:17" ht="12.75">
      <c r="M3213" s="47"/>
      <c r="Q3213" s="47"/>
    </row>
    <row r="3214" spans="13:17" ht="12.75">
      <c r="M3214" s="47"/>
      <c r="Q3214" s="47"/>
    </row>
    <row r="3215" spans="13:17" ht="12.75">
      <c r="M3215" s="47"/>
      <c r="Q3215" s="47"/>
    </row>
    <row r="3216" spans="13:17" ht="12.75">
      <c r="M3216" s="47"/>
      <c r="Q3216" s="47"/>
    </row>
    <row r="3217" spans="13:17" ht="12.75">
      <c r="M3217" s="47"/>
      <c r="Q3217" s="47"/>
    </row>
    <row r="3218" spans="13:17" ht="12.75">
      <c r="M3218" s="47"/>
      <c r="Q3218" s="47"/>
    </row>
    <row r="3219" spans="13:17" ht="12.75">
      <c r="M3219" s="47"/>
      <c r="Q3219" s="47"/>
    </row>
    <row r="3220" spans="13:17" ht="12.75">
      <c r="M3220" s="47"/>
      <c r="Q3220" s="47"/>
    </row>
    <row r="3221" spans="13:17" ht="12.75">
      <c r="M3221" s="47"/>
      <c r="Q3221" s="47"/>
    </row>
    <row r="3222" spans="13:17" ht="12.75">
      <c r="M3222" s="47"/>
      <c r="Q3222" s="47"/>
    </row>
    <row r="3223" spans="13:17" ht="12.75">
      <c r="M3223" s="47"/>
      <c r="Q3223" s="47"/>
    </row>
    <row r="3224" spans="13:17" ht="12.75">
      <c r="M3224" s="47"/>
      <c r="Q3224" s="47"/>
    </row>
    <row r="3225" spans="13:17" ht="12.75">
      <c r="M3225" s="47"/>
      <c r="Q3225" s="47"/>
    </row>
    <row r="3226" spans="13:17" ht="12.75">
      <c r="M3226" s="47"/>
      <c r="Q3226" s="47"/>
    </row>
    <row r="3227" spans="13:17" ht="12.75">
      <c r="M3227" s="47"/>
      <c r="Q3227" s="47"/>
    </row>
    <row r="3228" spans="13:17" ht="12.75">
      <c r="M3228" s="47"/>
      <c r="Q3228" s="47"/>
    </row>
    <row r="3229" spans="13:17" ht="12.75">
      <c r="M3229" s="47"/>
      <c r="Q3229" s="47"/>
    </row>
    <row r="3230" spans="13:17" ht="12.75">
      <c r="M3230" s="47"/>
      <c r="Q3230" s="47"/>
    </row>
    <row r="3231" spans="13:17" ht="12.75">
      <c r="M3231" s="47"/>
      <c r="Q3231" s="47"/>
    </row>
    <row r="3232" spans="13:17" ht="12.75">
      <c r="M3232" s="47"/>
      <c r="Q3232" s="47"/>
    </row>
    <row r="3233" spans="13:17" ht="12.75">
      <c r="M3233" s="47"/>
      <c r="Q3233" s="47"/>
    </row>
    <row r="3234" spans="13:17" ht="12.75">
      <c r="M3234" s="47"/>
      <c r="Q3234" s="47"/>
    </row>
    <row r="3235" spans="13:17" ht="12.75">
      <c r="M3235" s="47"/>
      <c r="Q3235" s="47"/>
    </row>
    <row r="3236" spans="13:17" ht="12.75">
      <c r="M3236" s="47"/>
      <c r="Q3236" s="47"/>
    </row>
    <row r="3237" spans="13:17" ht="12.75">
      <c r="M3237" s="47"/>
      <c r="Q3237" s="47"/>
    </row>
    <row r="3238" spans="13:17" ht="12.75">
      <c r="M3238" s="47"/>
      <c r="Q3238" s="47"/>
    </row>
    <row r="3239" spans="13:17" ht="12.75">
      <c r="M3239" s="47"/>
      <c r="Q3239" s="47"/>
    </row>
    <row r="3240" spans="13:17" ht="12.75">
      <c r="M3240" s="47"/>
      <c r="Q3240" s="47"/>
    </row>
    <row r="3241" spans="13:17" ht="12.75">
      <c r="M3241" s="47"/>
      <c r="Q3241" s="47"/>
    </row>
    <row r="3242" spans="13:17" ht="12.75">
      <c r="M3242" s="47"/>
      <c r="Q3242" s="47"/>
    </row>
    <row r="3243" spans="13:17" ht="12.75">
      <c r="M3243" s="47"/>
      <c r="Q3243" s="47"/>
    </row>
    <row r="3244" spans="13:17" ht="12.75">
      <c r="M3244" s="47"/>
      <c r="Q3244" s="47"/>
    </row>
    <row r="3245" spans="13:17" ht="12.75">
      <c r="M3245" s="47"/>
      <c r="Q3245" s="47"/>
    </row>
    <row r="3246" spans="13:17" ht="12.75">
      <c r="M3246" s="47"/>
      <c r="Q3246" s="47"/>
    </row>
    <row r="3247" spans="13:17" ht="12.75">
      <c r="M3247" s="47"/>
      <c r="Q3247" s="47"/>
    </row>
    <row r="3248" spans="13:17" ht="12.75">
      <c r="M3248" s="47"/>
      <c r="Q3248" s="47"/>
    </row>
    <row r="3249" spans="13:17" ht="12.75">
      <c r="M3249" s="47"/>
      <c r="Q3249" s="47"/>
    </row>
    <row r="3250" spans="13:17" ht="12.75">
      <c r="M3250" s="47"/>
      <c r="Q3250" s="47"/>
    </row>
    <row r="3251" spans="13:17" ht="12.75">
      <c r="M3251" s="47"/>
      <c r="Q3251" s="47"/>
    </row>
    <row r="3252" spans="13:17" ht="12.75">
      <c r="M3252" s="47"/>
      <c r="Q3252" s="47"/>
    </row>
    <row r="3253" spans="13:17" ht="12.75">
      <c r="M3253" s="47"/>
      <c r="Q3253" s="47"/>
    </row>
    <row r="3254" spans="13:17" ht="12.75">
      <c r="M3254" s="47"/>
      <c r="Q3254" s="47"/>
    </row>
    <row r="3255" spans="13:17" ht="12.75">
      <c r="M3255" s="47"/>
      <c r="Q3255" s="47"/>
    </row>
    <row r="3256" spans="13:17" ht="12.75">
      <c r="M3256" s="47"/>
      <c r="Q3256" s="47"/>
    </row>
    <row r="3257" spans="13:17" ht="12.75">
      <c r="M3257" s="47"/>
      <c r="Q3257" s="47"/>
    </row>
    <row r="3258" spans="13:17" ht="12.75">
      <c r="M3258" s="47"/>
      <c r="Q3258" s="47"/>
    </row>
    <row r="3259" spans="13:17" ht="12.75">
      <c r="M3259" s="47"/>
      <c r="Q3259" s="47"/>
    </row>
    <row r="3260" spans="13:17" ht="12.75">
      <c r="M3260" s="47"/>
      <c r="Q3260" s="47"/>
    </row>
    <row r="3261" spans="13:17" ht="12.75">
      <c r="M3261" s="47"/>
      <c r="Q3261" s="47"/>
    </row>
    <row r="3262" spans="13:17" ht="12.75">
      <c r="M3262" s="47"/>
      <c r="Q3262" s="47"/>
    </row>
    <row r="3263" spans="13:17" ht="12.75">
      <c r="M3263" s="47"/>
      <c r="Q3263" s="47"/>
    </row>
    <row r="3264" spans="13:17" ht="12.75">
      <c r="M3264" s="47"/>
      <c r="Q3264" s="47"/>
    </row>
    <row r="3265" spans="13:17" ht="12.75">
      <c r="M3265" s="47"/>
      <c r="Q3265" s="47"/>
    </row>
    <row r="3266" spans="13:17" ht="12.75">
      <c r="M3266" s="47"/>
      <c r="Q3266" s="47"/>
    </row>
    <row r="3267" spans="13:17" ht="12.75">
      <c r="M3267" s="47"/>
      <c r="Q3267" s="47"/>
    </row>
    <row r="3268" spans="13:17" ht="12.75">
      <c r="M3268" s="47"/>
      <c r="Q3268" s="47"/>
    </row>
    <row r="3269" spans="13:17" ht="12.75">
      <c r="M3269" s="47"/>
      <c r="Q3269" s="47"/>
    </row>
    <row r="3270" spans="13:17" ht="12.75">
      <c r="M3270" s="47"/>
      <c r="Q3270" s="47"/>
    </row>
    <row r="3271" spans="13:17" ht="12.75">
      <c r="M3271" s="47"/>
      <c r="Q3271" s="47"/>
    </row>
    <row r="3272" spans="13:17" ht="12.75">
      <c r="M3272" s="47"/>
      <c r="Q3272" s="47"/>
    </row>
    <row r="3273" spans="13:17" ht="12.75">
      <c r="M3273" s="47"/>
      <c r="Q3273" s="47"/>
    </row>
    <row r="3274" spans="13:17" ht="12.75">
      <c r="M3274" s="47"/>
      <c r="Q3274" s="47"/>
    </row>
    <row r="3275" spans="13:17" ht="12.75">
      <c r="M3275" s="47"/>
      <c r="Q3275" s="47"/>
    </row>
    <row r="3276" spans="13:17" ht="12.75">
      <c r="M3276" s="47"/>
      <c r="Q3276" s="47"/>
    </row>
    <row r="3277" spans="13:17" ht="12.75">
      <c r="M3277" s="47"/>
      <c r="Q3277" s="47"/>
    </row>
    <row r="3278" spans="13:17" ht="12.75">
      <c r="M3278" s="47"/>
      <c r="Q3278" s="47"/>
    </row>
    <row r="3279" spans="13:17" ht="12.75">
      <c r="M3279" s="47"/>
      <c r="Q3279" s="47"/>
    </row>
    <row r="3280" spans="13:17" ht="12.75">
      <c r="M3280" s="47"/>
      <c r="Q3280" s="47"/>
    </row>
    <row r="3281" spans="13:17" ht="12.75">
      <c r="M3281" s="47"/>
      <c r="Q3281" s="47"/>
    </row>
    <row r="3282" spans="13:17" ht="12.75">
      <c r="M3282" s="47"/>
      <c r="Q3282" s="47"/>
    </row>
    <row r="3283" spans="13:17" ht="12.75">
      <c r="M3283" s="47"/>
      <c r="Q3283" s="47"/>
    </row>
    <row r="3284" spans="13:17" ht="12.75">
      <c r="M3284" s="47"/>
      <c r="Q3284" s="47"/>
    </row>
    <row r="3285" spans="13:17" ht="12.75">
      <c r="M3285" s="47"/>
      <c r="Q3285" s="47"/>
    </row>
    <row r="3286" spans="13:17" ht="12.75">
      <c r="M3286" s="47"/>
      <c r="Q3286" s="47"/>
    </row>
    <row r="3287" spans="13:17" ht="12.75">
      <c r="M3287" s="47"/>
      <c r="Q3287" s="47"/>
    </row>
    <row r="3288" spans="13:17" ht="12.75">
      <c r="M3288" s="47"/>
      <c r="Q3288" s="47"/>
    </row>
    <row r="3289" spans="13:17" ht="12.75">
      <c r="M3289" s="47"/>
      <c r="Q3289" s="47"/>
    </row>
    <row r="3290" spans="13:17" ht="12.75">
      <c r="M3290" s="47"/>
      <c r="Q3290" s="47"/>
    </row>
    <row r="3291" spans="13:17" ht="12.75">
      <c r="M3291" s="47"/>
      <c r="Q3291" s="47"/>
    </row>
    <row r="3292" spans="13:17" ht="12.75">
      <c r="M3292" s="47"/>
      <c r="Q3292" s="47"/>
    </row>
    <row r="3293" spans="13:17" ht="12.75">
      <c r="M3293" s="47"/>
      <c r="Q3293" s="47"/>
    </row>
    <row r="3294" spans="13:17" ht="12.75">
      <c r="M3294" s="47"/>
      <c r="Q3294" s="47"/>
    </row>
    <row r="3295" spans="13:17" ht="12.75">
      <c r="M3295" s="47"/>
      <c r="Q3295" s="47"/>
    </row>
    <row r="3296" spans="13:17" ht="12.75">
      <c r="M3296" s="47"/>
      <c r="Q3296" s="47"/>
    </row>
    <row r="3297" spans="13:17" ht="12.75">
      <c r="M3297" s="47"/>
      <c r="Q3297" s="47"/>
    </row>
    <row r="3298" spans="13:17" ht="12.75">
      <c r="M3298" s="47"/>
      <c r="Q3298" s="47"/>
    </row>
    <row r="3299" spans="13:17" ht="12.75">
      <c r="M3299" s="47"/>
      <c r="Q3299" s="47"/>
    </row>
    <row r="3300" spans="13:17" ht="12.75">
      <c r="M3300" s="47"/>
      <c r="Q3300" s="47"/>
    </row>
    <row r="3301" spans="13:17" ht="12.75">
      <c r="M3301" s="47"/>
      <c r="Q3301" s="47"/>
    </row>
    <row r="3302" spans="13:17" ht="12.75">
      <c r="M3302" s="47"/>
      <c r="Q3302" s="47"/>
    </row>
    <row r="3303" spans="13:17" ht="12.75">
      <c r="M3303" s="47"/>
      <c r="Q3303" s="47"/>
    </row>
    <row r="3304" spans="13:17" ht="12.75">
      <c r="M3304" s="47"/>
      <c r="Q3304" s="47"/>
    </row>
    <row r="3305" spans="13:17" ht="12.75">
      <c r="M3305" s="47"/>
      <c r="Q3305" s="47"/>
    </row>
    <row r="3306" spans="13:17" ht="12.75">
      <c r="M3306" s="47"/>
      <c r="Q3306" s="47"/>
    </row>
    <row r="3307" spans="13:17" ht="12.75">
      <c r="M3307" s="47"/>
      <c r="Q3307" s="47"/>
    </row>
    <row r="3308" spans="13:17" ht="12.75">
      <c r="M3308" s="47"/>
      <c r="Q3308" s="47"/>
    </row>
    <row r="3309" spans="13:17" ht="12.75">
      <c r="M3309" s="47"/>
      <c r="Q3309" s="47"/>
    </row>
    <row r="3310" spans="13:17" ht="12.75">
      <c r="M3310" s="47"/>
      <c r="Q3310" s="47"/>
    </row>
    <row r="3311" spans="13:17" ht="12.75">
      <c r="M3311" s="47"/>
      <c r="Q3311" s="47"/>
    </row>
    <row r="3312" spans="13:17" ht="12.75">
      <c r="M3312" s="47"/>
      <c r="Q3312" s="47"/>
    </row>
    <row r="3313" spans="13:17" ht="12.75">
      <c r="M3313" s="47"/>
      <c r="Q3313" s="47"/>
    </row>
    <row r="3314" spans="13:17" ht="12.75">
      <c r="M3314" s="47"/>
      <c r="Q3314" s="47"/>
    </row>
    <row r="3315" spans="13:17" ht="12.75">
      <c r="M3315" s="47"/>
      <c r="Q3315" s="47"/>
    </row>
    <row r="3316" spans="13:17" ht="12.75">
      <c r="M3316" s="47"/>
      <c r="Q3316" s="47"/>
    </row>
    <row r="3317" spans="13:17" ht="12.75">
      <c r="M3317" s="47"/>
      <c r="Q3317" s="47"/>
    </row>
    <row r="3318" spans="13:17" ht="12.75">
      <c r="M3318" s="47"/>
      <c r="Q3318" s="47"/>
    </row>
    <row r="3319" spans="13:17" ht="12.75">
      <c r="M3319" s="47"/>
      <c r="Q3319" s="47"/>
    </row>
    <row r="3320" spans="13:17" ht="12.75">
      <c r="M3320" s="47"/>
      <c r="Q3320" s="47"/>
    </row>
    <row r="3321" spans="13:17" ht="12.75">
      <c r="M3321" s="47"/>
      <c r="Q3321" s="47"/>
    </row>
    <row r="3322" spans="13:17" ht="12.75">
      <c r="M3322" s="47"/>
      <c r="Q3322" s="47"/>
    </row>
    <row r="3323" spans="13:17" ht="12.75">
      <c r="M3323" s="47"/>
      <c r="Q3323" s="47"/>
    </row>
    <row r="3324" spans="13:17" ht="12.75">
      <c r="M3324" s="47"/>
      <c r="Q3324" s="47"/>
    </row>
    <row r="3325" spans="13:17" ht="12.75">
      <c r="M3325" s="47"/>
      <c r="Q3325" s="47"/>
    </row>
    <row r="3326" spans="13:17" ht="12.75">
      <c r="M3326" s="47"/>
      <c r="Q3326" s="47"/>
    </row>
    <row r="3327" spans="13:17" ht="12.75">
      <c r="M3327" s="47"/>
      <c r="Q3327" s="47"/>
    </row>
    <row r="3328" spans="13:17" ht="12.75">
      <c r="M3328" s="47"/>
      <c r="Q3328" s="47"/>
    </row>
    <row r="3329" spans="13:17" ht="12.75">
      <c r="M3329" s="47"/>
      <c r="Q3329" s="47"/>
    </row>
    <row r="3330" spans="13:17" ht="12.75">
      <c r="M3330" s="47"/>
      <c r="Q3330" s="47"/>
    </row>
    <row r="3331" spans="13:17" ht="12.75">
      <c r="M3331" s="47"/>
      <c r="Q3331" s="47"/>
    </row>
    <row r="3332" spans="13:17" ht="12.75">
      <c r="M3332" s="47"/>
      <c r="Q3332" s="47"/>
    </row>
    <row r="3333" spans="13:17" ht="12.75">
      <c r="M3333" s="47"/>
      <c r="Q3333" s="47"/>
    </row>
    <row r="3334" spans="13:17" ht="12.75">
      <c r="M3334" s="47"/>
      <c r="Q3334" s="47"/>
    </row>
    <row r="3335" spans="13:17" ht="12.75">
      <c r="M3335" s="47"/>
      <c r="Q3335" s="47"/>
    </row>
    <row r="3336" ht="12.75">
      <c r="Q3336" s="47"/>
    </row>
    <row r="3337" ht="12.75">
      <c r="Q3337" s="47"/>
    </row>
    <row r="3338" ht="12.75">
      <c r="Q3338" s="47"/>
    </row>
    <row r="3339" ht="12.75">
      <c r="Q3339" s="47"/>
    </row>
    <row r="3340" ht="12.75">
      <c r="Q3340" s="47"/>
    </row>
    <row r="3341" ht="12.75">
      <c r="Q3341" s="47"/>
    </row>
    <row r="3342" ht="12.75">
      <c r="Q3342" s="47"/>
    </row>
    <row r="3343" ht="12.75">
      <c r="Q3343" s="47"/>
    </row>
    <row r="3344" ht="12.75">
      <c r="Q3344" s="47"/>
    </row>
    <row r="3345" ht="12.75">
      <c r="Q3345" s="47"/>
    </row>
    <row r="3346" ht="12.75">
      <c r="Q3346" s="47"/>
    </row>
    <row r="3347" ht="12.75">
      <c r="Q3347" s="47"/>
    </row>
    <row r="3348" ht="12.75">
      <c r="Q3348" s="47"/>
    </row>
    <row r="3349" ht="12.75">
      <c r="Q3349" s="47"/>
    </row>
    <row r="3350" ht="12.75">
      <c r="Q3350" s="47"/>
    </row>
    <row r="3351" ht="12.75">
      <c r="Q3351" s="47"/>
    </row>
    <row r="3352" ht="12.75">
      <c r="Q3352" s="47"/>
    </row>
    <row r="3353" ht="12.75">
      <c r="Q3353" s="47"/>
    </row>
    <row r="3354" ht="12.75">
      <c r="Q3354" s="47"/>
    </row>
    <row r="3355" ht="12.75">
      <c r="Q3355" s="47"/>
    </row>
    <row r="3356" ht="12.75">
      <c r="Q3356" s="47"/>
    </row>
    <row r="3357" ht="12.75">
      <c r="Q3357" s="47"/>
    </row>
    <row r="3358" ht="12.75">
      <c r="Q3358" s="47"/>
    </row>
    <row r="3359" ht="12.75">
      <c r="Q3359" s="47"/>
    </row>
    <row r="3360" ht="12.75">
      <c r="Q3360" s="47"/>
    </row>
    <row r="3361" ht="12.75">
      <c r="Q3361" s="47"/>
    </row>
    <row r="3362" ht="12.75">
      <c r="Q3362" s="47"/>
    </row>
    <row r="3363" ht="12.75">
      <c r="Q3363" s="47"/>
    </row>
    <row r="3364" ht="12.75">
      <c r="Q3364" s="47"/>
    </row>
    <row r="3365" ht="12.75">
      <c r="Q3365" s="47"/>
    </row>
    <row r="3366" ht="12.75">
      <c r="Q3366" s="47"/>
    </row>
    <row r="3367" ht="12.75">
      <c r="Q3367" s="47"/>
    </row>
    <row r="3368" ht="12.75">
      <c r="Q3368" s="47"/>
    </row>
    <row r="3369" ht="12.75">
      <c r="Q3369" s="47"/>
    </row>
    <row r="3370" ht="12.75">
      <c r="Q3370" s="47"/>
    </row>
    <row r="3371" ht="12.75">
      <c r="Q3371" s="47"/>
    </row>
    <row r="3372" ht="12.75">
      <c r="Q3372" s="47"/>
    </row>
    <row r="3373" ht="12.75">
      <c r="Q3373" s="47"/>
    </row>
    <row r="3374" ht="12.75">
      <c r="Q3374" s="47"/>
    </row>
    <row r="3375" ht="12.75">
      <c r="Q3375" s="47"/>
    </row>
    <row r="3376" ht="12.75">
      <c r="Q3376" s="47"/>
    </row>
    <row r="3377" ht="12.75">
      <c r="Q3377" s="47"/>
    </row>
    <row r="3378" ht="12.75">
      <c r="Q3378" s="47"/>
    </row>
    <row r="3379" ht="12.75">
      <c r="Q3379" s="47"/>
    </row>
    <row r="3380" ht="12.75">
      <c r="Q3380" s="47"/>
    </row>
    <row r="3381" ht="12.75">
      <c r="Q3381" s="47"/>
    </row>
    <row r="3382" ht="12.75">
      <c r="Q3382" s="47"/>
    </row>
    <row r="3383" ht="12.75">
      <c r="Q3383" s="47"/>
    </row>
    <row r="3384" ht="12.75">
      <c r="Q3384" s="47"/>
    </row>
    <row r="3385" ht="12.75">
      <c r="Q3385" s="47"/>
    </row>
    <row r="3386" ht="12.75">
      <c r="Q3386" s="47"/>
    </row>
    <row r="3387" ht="12.75">
      <c r="Q3387" s="47"/>
    </row>
    <row r="3388" ht="12.75">
      <c r="Q3388" s="47"/>
    </row>
    <row r="3389" ht="12.75">
      <c r="Q3389" s="47"/>
    </row>
    <row r="3390" ht="12.75">
      <c r="Q3390" s="47"/>
    </row>
    <row r="3391" ht="12.75">
      <c r="Q3391" s="47"/>
    </row>
    <row r="3392" ht="12.75">
      <c r="Q3392" s="47"/>
    </row>
    <row r="3393" ht="12.75">
      <c r="Q3393" s="47"/>
    </row>
    <row r="3394" ht="12.75">
      <c r="Q3394" s="47"/>
    </row>
    <row r="3395" ht="12.75">
      <c r="Q3395" s="47"/>
    </row>
    <row r="3396" ht="12.75">
      <c r="Q3396" s="47"/>
    </row>
    <row r="3397" ht="12.75">
      <c r="Q3397" s="47"/>
    </row>
    <row r="3398" ht="12.75">
      <c r="Q3398" s="47"/>
    </row>
    <row r="3399" ht="12.75">
      <c r="Q3399" s="47"/>
    </row>
    <row r="3400" ht="12.75">
      <c r="Q3400" s="47"/>
    </row>
    <row r="3401" ht="12.75">
      <c r="Q3401" s="47"/>
    </row>
    <row r="3402" ht="12.75">
      <c r="Q3402" s="47"/>
    </row>
    <row r="3403" ht="12.75">
      <c r="Q3403" s="47"/>
    </row>
    <row r="3404" ht="12.75">
      <c r="Q3404" s="47"/>
    </row>
    <row r="3405" ht="12.75">
      <c r="Q3405" s="47"/>
    </row>
    <row r="3406" ht="12.75">
      <c r="Q3406" s="47"/>
    </row>
    <row r="3407" ht="12.75">
      <c r="Q3407" s="47"/>
    </row>
    <row r="3408" ht="12.75">
      <c r="Q3408" s="47"/>
    </row>
    <row r="3409" ht="12.75">
      <c r="Q3409" s="47"/>
    </row>
    <row r="3410" ht="12.75">
      <c r="Q3410" s="47"/>
    </row>
    <row r="3411" ht="12.75">
      <c r="Q3411" s="47"/>
    </row>
    <row r="3412" ht="12.75">
      <c r="Q3412" s="47"/>
    </row>
    <row r="3413" ht="12.75">
      <c r="Q3413" s="47"/>
    </row>
    <row r="3414" ht="12.75">
      <c r="Q3414" s="47"/>
    </row>
    <row r="3415" ht="12.75">
      <c r="Q3415" s="47"/>
    </row>
    <row r="3416" ht="12.75">
      <c r="Q3416" s="47"/>
    </row>
    <row r="3417" ht="12.75">
      <c r="Q3417" s="47"/>
    </row>
    <row r="3418" ht="12.75">
      <c r="Q3418" s="47"/>
    </row>
    <row r="3419" ht="12.75">
      <c r="Q3419" s="47"/>
    </row>
    <row r="3420" ht="12.75">
      <c r="Q3420" s="47"/>
    </row>
    <row r="3421" ht="12.75">
      <c r="Q3421" s="47"/>
    </row>
    <row r="3422" ht="12.75">
      <c r="Q3422" s="47"/>
    </row>
    <row r="3423" ht="12.75">
      <c r="Q3423" s="47"/>
    </row>
    <row r="3424" ht="12.75">
      <c r="Q3424" s="47"/>
    </row>
    <row r="3425" ht="12.75">
      <c r="Q3425" s="47"/>
    </row>
    <row r="3426" ht="12.75">
      <c r="Q3426" s="47"/>
    </row>
    <row r="3427" ht="12.75">
      <c r="Q3427" s="47"/>
    </row>
    <row r="3428" ht="12.75">
      <c r="Q3428" s="47"/>
    </row>
    <row r="3429" ht="12.75">
      <c r="Q3429" s="47"/>
    </row>
    <row r="3430" ht="12.75">
      <c r="Q3430" s="47"/>
    </row>
    <row r="3431" ht="12.75">
      <c r="Q3431" s="47"/>
    </row>
    <row r="3432" ht="12.75">
      <c r="Q3432" s="47"/>
    </row>
    <row r="3433" ht="12.75">
      <c r="Q3433" s="47"/>
    </row>
    <row r="3434" ht="12.75">
      <c r="Q3434" s="47"/>
    </row>
    <row r="3435" ht="12.75">
      <c r="Q3435" s="47"/>
    </row>
    <row r="3436" ht="12.75">
      <c r="Q3436" s="47"/>
    </row>
    <row r="3437" ht="12.75">
      <c r="Q3437" s="47"/>
    </row>
    <row r="3438" ht="12.75">
      <c r="Q3438" s="47"/>
    </row>
    <row r="3439" ht="12.75">
      <c r="Q3439" s="47"/>
    </row>
    <row r="3440" ht="12.75">
      <c r="Q3440" s="47"/>
    </row>
    <row r="3441" ht="12.75">
      <c r="Q3441" s="47"/>
    </row>
    <row r="3442" ht="12.75">
      <c r="Q3442" s="47"/>
    </row>
    <row r="3443" ht="12.75">
      <c r="Q3443" s="47"/>
    </row>
    <row r="3444" ht="12.75">
      <c r="Q3444" s="47"/>
    </row>
    <row r="3445" ht="12.75">
      <c r="Q3445" s="47"/>
    </row>
    <row r="3446" ht="12.75">
      <c r="Q3446" s="47"/>
    </row>
    <row r="3447" ht="12.75">
      <c r="Q3447" s="47"/>
    </row>
    <row r="3448" ht="12.75">
      <c r="Q3448" s="47"/>
    </row>
    <row r="3449" ht="12.75">
      <c r="Q3449" s="47"/>
    </row>
    <row r="3450" ht="12.75">
      <c r="Q3450" s="47"/>
    </row>
    <row r="3451" ht="12.75">
      <c r="Q3451" s="47"/>
    </row>
    <row r="3452" ht="12.75">
      <c r="Q3452" s="47"/>
    </row>
    <row r="3453" ht="12.75">
      <c r="Q3453" s="47"/>
    </row>
    <row r="3454" ht="12.75">
      <c r="Q3454" s="47"/>
    </row>
    <row r="3455" ht="12.75">
      <c r="Q3455" s="47"/>
    </row>
    <row r="3456" ht="12.75">
      <c r="Q3456" s="47"/>
    </row>
    <row r="3457" ht="12.75">
      <c r="Q3457" s="47"/>
    </row>
    <row r="3458" ht="12.75">
      <c r="Q3458" s="47"/>
    </row>
    <row r="3459" ht="12.75">
      <c r="Q3459" s="47"/>
    </row>
    <row r="3460" ht="12.75">
      <c r="Q3460" s="47"/>
    </row>
    <row r="3461" ht="12.75">
      <c r="Q3461" s="47"/>
    </row>
    <row r="3462" ht="12.75">
      <c r="Q3462" s="47"/>
    </row>
    <row r="3463" ht="12.75">
      <c r="Q3463" s="47"/>
    </row>
    <row r="3464" ht="12.75">
      <c r="Q3464" s="47"/>
    </row>
    <row r="3465" ht="12.75">
      <c r="Q3465" s="47"/>
    </row>
    <row r="3466" ht="12.75">
      <c r="Q3466" s="47"/>
    </row>
    <row r="3467" ht="12.75">
      <c r="Q3467" s="47"/>
    </row>
    <row r="3468" ht="12.75">
      <c r="Q3468" s="47"/>
    </row>
    <row r="3469" ht="12.75">
      <c r="Q3469" s="47"/>
    </row>
    <row r="3470" ht="12.75">
      <c r="Q3470" s="47"/>
    </row>
    <row r="3471" ht="12.75">
      <c r="Q3471" s="47"/>
    </row>
    <row r="3472" ht="12.75">
      <c r="Q3472" s="47"/>
    </row>
    <row r="3473" ht="12.75">
      <c r="Q3473" s="47"/>
    </row>
    <row r="3474" ht="12.75">
      <c r="Q3474" s="47"/>
    </row>
    <row r="3475" ht="12.75">
      <c r="Q3475" s="47"/>
    </row>
    <row r="3476" ht="12.75">
      <c r="Q3476" s="47"/>
    </row>
    <row r="3477" ht="12.75">
      <c r="Q3477" s="47"/>
    </row>
    <row r="3478" ht="12.75">
      <c r="Q3478" s="47"/>
    </row>
    <row r="3479" ht="12.75">
      <c r="Q3479" s="47"/>
    </row>
    <row r="3480" ht="12.75">
      <c r="Q3480" s="47"/>
    </row>
    <row r="3481" ht="12.75">
      <c r="Q3481" s="47"/>
    </row>
    <row r="3482" ht="12.75">
      <c r="Q3482" s="47"/>
    </row>
    <row r="3483" ht="12.75">
      <c r="Q3483" s="47"/>
    </row>
    <row r="3484" ht="12.75">
      <c r="Q3484" s="47"/>
    </row>
    <row r="3485" ht="12.75">
      <c r="Q3485" s="47"/>
    </row>
    <row r="3486" ht="12.75">
      <c r="Q3486" s="47"/>
    </row>
    <row r="3487" ht="12.75">
      <c r="Q3487" s="47"/>
    </row>
    <row r="3488" ht="12.75">
      <c r="Q3488" s="47"/>
    </row>
    <row r="3489" ht="12.75">
      <c r="Q3489" s="47"/>
    </row>
    <row r="3490" ht="12.75">
      <c r="Q3490" s="47"/>
    </row>
    <row r="3491" ht="12.75">
      <c r="Q3491" s="47"/>
    </row>
    <row r="3492" ht="12.75">
      <c r="Q3492" s="47"/>
    </row>
    <row r="3493" ht="12.75">
      <c r="Q3493" s="47"/>
    </row>
    <row r="3494" ht="12.75">
      <c r="Q3494" s="47"/>
    </row>
    <row r="3495" ht="12.75">
      <c r="Q3495" s="47"/>
    </row>
    <row r="3496" ht="12.75">
      <c r="Q3496" s="47"/>
    </row>
    <row r="3497" ht="12.75">
      <c r="Q3497" s="47"/>
    </row>
    <row r="3498" ht="12.75">
      <c r="Q3498" s="47"/>
    </row>
    <row r="3499" ht="12.75">
      <c r="Q3499" s="47"/>
    </row>
    <row r="3500" ht="12.75">
      <c r="Q3500" s="47"/>
    </row>
  </sheetData>
  <sheetProtection sheet="1" objects="1" scenarios="1"/>
  <mergeCells count="6">
    <mergeCell ref="H26:J26"/>
    <mergeCell ref="H27:J27"/>
    <mergeCell ref="H22:J22"/>
    <mergeCell ref="H23:J23"/>
    <mergeCell ref="H24:J24"/>
    <mergeCell ref="H25:J25"/>
  </mergeCells>
  <hyperlinks>
    <hyperlink ref="H23" location="'Return On Investment'!A1" display="FORWARD TO RESULTS"/>
    <hyperlink ref="H25" location="'Personnel Expenses'!A1" display="PERSONNEL EXPENSES"/>
    <hyperlink ref="H26" location="'Expense Projection'!A1" display="EXPENSE PROJECTIONS"/>
    <hyperlink ref="H27" location="Depreciation!A1" display="DEPRECIATION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3"/>
  <sheetViews>
    <sheetView showGridLines="0" showRowColHeaders="0" workbookViewId="0" topLeftCell="A1">
      <selection activeCell="H24" sqref="H24"/>
    </sheetView>
  </sheetViews>
  <sheetFormatPr defaultColWidth="9.140625" defaultRowHeight="12.75"/>
  <cols>
    <col min="1" max="1" width="2.00390625" style="0" customWidth="1"/>
    <col min="2" max="2" width="28.00390625" style="0" bestFit="1" customWidth="1"/>
    <col min="3" max="3" width="14.421875" style="0" bestFit="1" customWidth="1"/>
    <col min="4" max="4" width="5.57421875" style="0" customWidth="1"/>
    <col min="5" max="5" width="17.8515625" style="0" bestFit="1" customWidth="1"/>
    <col min="6" max="6" width="14.421875" style="0" bestFit="1" customWidth="1"/>
    <col min="7" max="7" width="4.57421875" style="0" customWidth="1"/>
    <col min="8" max="8" width="24.421875" style="0" bestFit="1" customWidth="1"/>
    <col min="9" max="9" width="12.8515625" style="0" bestFit="1" customWidth="1"/>
  </cols>
  <sheetData>
    <row r="1" ht="5.25" customHeight="1" thickBot="1"/>
    <row r="2" ht="13.5" thickBot="1">
      <c r="B2" s="61" t="s">
        <v>253</v>
      </c>
    </row>
    <row r="3" ht="13.5" thickBot="1">
      <c r="B3" s="62" t="s">
        <v>252</v>
      </c>
    </row>
    <row r="4" ht="13.5" thickBot="1">
      <c r="B4" s="60" t="s">
        <v>247</v>
      </c>
    </row>
    <row r="5" ht="13.5" customHeight="1"/>
    <row r="6" spans="2:9" ht="12.75">
      <c r="B6" s="51" t="s">
        <v>223</v>
      </c>
      <c r="C6" s="57"/>
      <c r="D6" s="37"/>
      <c r="E6" s="51" t="s">
        <v>170</v>
      </c>
      <c r="F6" s="53"/>
      <c r="G6" s="18"/>
      <c r="H6" s="51" t="s">
        <v>169</v>
      </c>
      <c r="I6" s="52"/>
    </row>
    <row r="7" spans="2:9" ht="12.75">
      <c r="B7" s="38" t="s">
        <v>178</v>
      </c>
      <c r="C7" s="43">
        <f>2000*(1-'Input Value'!F13)</f>
        <v>1800</v>
      </c>
      <c r="E7" s="38" t="s">
        <v>184</v>
      </c>
      <c r="F7" s="39">
        <f>((2000*'Input Value'!$F$12)*'Input Value'!F11)+((2000*'Input Value'!F16)*(1-'Input Value'!F11))</f>
        <v>666.6666666666665</v>
      </c>
      <c r="G7" s="18"/>
      <c r="H7" s="38" t="s">
        <v>198</v>
      </c>
      <c r="I7" s="46">
        <f>'Input Value'!C26</f>
        <v>1200</v>
      </c>
    </row>
    <row r="8" spans="2:9" ht="12.75">
      <c r="B8" s="38" t="s">
        <v>179</v>
      </c>
      <c r="C8" s="43">
        <f>$C$7/(1-'Input Value'!F12)</f>
        <v>4500</v>
      </c>
      <c r="E8" s="38" t="s">
        <v>185</v>
      </c>
      <c r="F8" s="39">
        <f>2000*'Input Value'!$F$13</f>
        <v>200</v>
      </c>
      <c r="G8" s="18"/>
      <c r="H8" s="38" t="s">
        <v>172</v>
      </c>
      <c r="I8" s="45">
        <f>'Input Value'!C25</f>
        <v>0.05</v>
      </c>
    </row>
    <row r="9" spans="2:9" ht="12.75">
      <c r="B9" s="38" t="s">
        <v>180</v>
      </c>
      <c r="C9" s="43">
        <f>C8/2000</f>
        <v>2.25</v>
      </c>
      <c r="E9" s="38" t="s">
        <v>186</v>
      </c>
      <c r="F9" s="39">
        <f>(F7-F8)</f>
        <v>466.6666666666665</v>
      </c>
      <c r="G9" s="18"/>
      <c r="H9" s="38" t="s">
        <v>173</v>
      </c>
      <c r="I9" s="39">
        <v>0.746</v>
      </c>
    </row>
    <row r="10" spans="2:9" ht="12.75">
      <c r="B10" s="38" t="s">
        <v>181</v>
      </c>
      <c r="C10" s="43">
        <f>+C9*'Input Value'!F9*'Input Value'!F11</f>
        <v>18983.999999999996</v>
      </c>
      <c r="E10" s="38" t="s">
        <v>187</v>
      </c>
      <c r="F10" s="39">
        <v>1500</v>
      </c>
      <c r="G10" s="18"/>
      <c r="H10" s="38" t="s">
        <v>201</v>
      </c>
      <c r="I10" s="43">
        <f>'Input Value'!F6*I7*I9</f>
        <v>2023152</v>
      </c>
    </row>
    <row r="11" spans="2:9" ht="12.75">
      <c r="B11" s="38" t="s">
        <v>267</v>
      </c>
      <c r="C11" s="74">
        <f>C10*'Input Value'!F20</f>
        <v>759359.9999999999</v>
      </c>
      <c r="E11" s="38" t="s">
        <v>188</v>
      </c>
      <c r="F11" s="39">
        <f>(F9*F10)</f>
        <v>699999.9999999998</v>
      </c>
      <c r="G11" s="18"/>
      <c r="H11" s="49" t="s">
        <v>202</v>
      </c>
      <c r="I11" s="50">
        <f>+I10*I8</f>
        <v>101157.6</v>
      </c>
    </row>
    <row r="12" spans="2:9" ht="12.75">
      <c r="B12" s="38" t="s">
        <v>266</v>
      </c>
      <c r="C12" s="43">
        <f>C11/'Input Value'!F9</f>
        <v>41.99999999999999</v>
      </c>
      <c r="E12" s="38" t="s">
        <v>189</v>
      </c>
      <c r="F12" s="41">
        <f>F11*C10</f>
        <v>13288799999.999992</v>
      </c>
      <c r="G12" s="18"/>
      <c r="H12" s="49" t="s">
        <v>203</v>
      </c>
      <c r="I12" s="50">
        <f>I11/'Input Value'!F9</f>
        <v>5.595000000000001</v>
      </c>
    </row>
    <row r="13" spans="3:7" ht="12.75">
      <c r="C13" s="40"/>
      <c r="E13" s="38" t="s">
        <v>190</v>
      </c>
      <c r="F13" s="39">
        <f>(F12/1000000)</f>
        <v>13288.799999999992</v>
      </c>
      <c r="G13" s="18"/>
    </row>
    <row r="14" spans="2:9" ht="12.75">
      <c r="B14" s="51" t="s">
        <v>224</v>
      </c>
      <c r="C14" s="52"/>
      <c r="E14" s="38" t="s">
        <v>191</v>
      </c>
      <c r="F14" s="45">
        <f>'Input Value'!C27</f>
        <v>3</v>
      </c>
      <c r="G14" s="18" t="s">
        <v>153</v>
      </c>
      <c r="H14" s="51" t="s">
        <v>196</v>
      </c>
      <c r="I14" s="52" t="s">
        <v>152</v>
      </c>
    </row>
    <row r="15" spans="2:9" ht="12.75">
      <c r="B15" s="38" t="s">
        <v>178</v>
      </c>
      <c r="C15" s="58">
        <f>2000*(1-'Input Value'!F13)</f>
        <v>1800</v>
      </c>
      <c r="E15" s="49" t="s">
        <v>204</v>
      </c>
      <c r="F15" s="54">
        <f>(F13*F14)</f>
        <v>39866.39999999998</v>
      </c>
      <c r="G15" s="18"/>
      <c r="H15" s="38" t="s">
        <v>194</v>
      </c>
      <c r="I15" s="29">
        <f>(C10)*'Input Value'!F17*'Input Value'!F18</f>
        <v>102513.59999999998</v>
      </c>
    </row>
    <row r="16" spans="2:9" ht="12.75">
      <c r="B16" s="38" t="s">
        <v>225</v>
      </c>
      <c r="C16" s="58">
        <f>C15/(1-'Input Value'!F16)</f>
        <v>2000</v>
      </c>
      <c r="D16" s="39"/>
      <c r="E16" s="49" t="s">
        <v>205</v>
      </c>
      <c r="F16" s="50">
        <f>F15/'Input Value'!F9</f>
        <v>2.2049999999999987</v>
      </c>
      <c r="G16" s="18"/>
      <c r="H16" s="38" t="s">
        <v>274</v>
      </c>
      <c r="I16" s="42">
        <f>I15/'Input Value'!F9</f>
        <v>5.669999999999999</v>
      </c>
    </row>
    <row r="17" spans="2:9" ht="12.75">
      <c r="B17" s="38" t="s">
        <v>226</v>
      </c>
      <c r="C17" s="58">
        <f>C16/2000</f>
        <v>1</v>
      </c>
      <c r="D17" s="39"/>
      <c r="G17" s="18"/>
      <c r="I17" s="52" t="s">
        <v>154</v>
      </c>
    </row>
    <row r="18" spans="2:9" ht="12.75">
      <c r="B18" s="38" t="s">
        <v>227</v>
      </c>
      <c r="C18" s="58">
        <f>C17*'Input Value'!F9*(1-'Input Value'!F11)</f>
        <v>9642.666666666668</v>
      </c>
      <c r="D18" s="39"/>
      <c r="E18" s="51" t="s">
        <v>206</v>
      </c>
      <c r="F18" s="55"/>
      <c r="G18" s="20"/>
      <c r="H18" s="38" t="s">
        <v>194</v>
      </c>
      <c r="I18" s="29">
        <f>(C10)*'Input Value'!F17*'Input Value'!F18</f>
        <v>102513.59999999998</v>
      </c>
    </row>
    <row r="19" spans="2:9" ht="12.75">
      <c r="B19" s="38" t="s">
        <v>268</v>
      </c>
      <c r="C19" s="58">
        <f>C18*'Input Value'!F15</f>
        <v>385706.66666666674</v>
      </c>
      <c r="E19" t="s">
        <v>207</v>
      </c>
      <c r="F19" s="56">
        <f>250*12</f>
        <v>3000</v>
      </c>
      <c r="G19" s="18"/>
      <c r="H19" s="38" t="s">
        <v>274</v>
      </c>
      <c r="I19" s="42">
        <f>I18/'Input Value'!F9</f>
        <v>5.669999999999999</v>
      </c>
    </row>
    <row r="20" spans="2:7" ht="12.75">
      <c r="B20" s="38" t="s">
        <v>269</v>
      </c>
      <c r="C20" s="58">
        <f>C19/'Input Value'!F9</f>
        <v>21.33333333333334</v>
      </c>
      <c r="E20" t="s">
        <v>208</v>
      </c>
      <c r="F20" s="29">
        <f>F19/'Input Value'!F9</f>
        <v>0.16592920353982302</v>
      </c>
      <c r="G20" s="18"/>
    </row>
    <row r="21" spans="5:6" ht="12.75">
      <c r="E21" t="s">
        <v>209</v>
      </c>
      <c r="F21" s="29">
        <f>200*12</f>
        <v>2400</v>
      </c>
    </row>
    <row r="22" spans="4:6" ht="12.75">
      <c r="D22" s="1" t="s">
        <v>153</v>
      </c>
      <c r="E22" t="s">
        <v>210</v>
      </c>
      <c r="F22" s="29">
        <f>F21/'Input Value'!F9</f>
        <v>0.13274336283185842</v>
      </c>
    </row>
    <row r="26" ht="12.75">
      <c r="D26" s="44"/>
    </row>
    <row r="27" ht="12.75">
      <c r="D27" s="44"/>
    </row>
    <row r="28" spans="4:5" ht="12.75">
      <c r="D28" s="50"/>
      <c r="E28" s="44"/>
    </row>
    <row r="29" ht="12.75">
      <c r="E29" s="38" t="s">
        <v>153</v>
      </c>
    </row>
    <row r="30" ht="12.75">
      <c r="E30" s="38" t="s">
        <v>153</v>
      </c>
    </row>
    <row r="33" ht="12.75">
      <c r="E33" t="s">
        <v>153</v>
      </c>
    </row>
  </sheetData>
  <sheetProtection sheet="1" objects="1" scenarios="1"/>
  <hyperlinks>
    <hyperlink ref="B3" location="'Input Value'!A1" display="BACK TO INPUTS"/>
    <hyperlink ref="B4" location="'Return On Investment'!A1" display="FORWARD TO RESULTS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4"/>
  <sheetViews>
    <sheetView showGridLines="0" showRowColHeaders="0" workbookViewId="0" topLeftCell="A1">
      <selection activeCell="J32" sqref="J32"/>
    </sheetView>
  </sheetViews>
  <sheetFormatPr defaultColWidth="9.140625" defaultRowHeight="12.75"/>
  <cols>
    <col min="1" max="1" width="0.9921875" style="0" customWidth="1"/>
    <col min="2" max="2" width="16.57421875" style="0" customWidth="1"/>
    <col min="3" max="3" width="4.421875" style="0" customWidth="1"/>
    <col min="4" max="4" width="12.00390625" style="0" customWidth="1"/>
    <col min="5" max="5" width="12.140625" style="0" customWidth="1"/>
    <col min="6" max="6" width="12.7109375" style="0" customWidth="1"/>
    <col min="7" max="7" width="13.57421875" style="0" customWidth="1"/>
    <col min="8" max="8" width="12.140625" style="0" customWidth="1"/>
    <col min="9" max="9" width="11.00390625" style="0" customWidth="1"/>
    <col min="10" max="10" width="12.28125" style="0" customWidth="1"/>
    <col min="11" max="11" width="12.00390625" style="0" customWidth="1"/>
    <col min="12" max="13" width="11.28125" style="0" bestFit="1" customWidth="1"/>
    <col min="14" max="14" width="11.8515625" style="3" bestFit="1" customWidth="1"/>
  </cols>
  <sheetData>
    <row r="1" ht="6" customHeight="1" thickBot="1"/>
    <row r="2" spans="2:3" ht="13.5" thickBot="1">
      <c r="B2" s="66" t="s">
        <v>253</v>
      </c>
      <c r="C2" s="63"/>
    </row>
    <row r="3" spans="2:3" ht="13.5" thickBot="1">
      <c r="B3" s="67" t="s">
        <v>252</v>
      </c>
      <c r="C3" s="64"/>
    </row>
    <row r="4" spans="2:3" ht="13.5" thickBot="1">
      <c r="B4" s="68" t="s">
        <v>247</v>
      </c>
      <c r="C4" s="65"/>
    </row>
    <row r="5" ht="12.75">
      <c r="B5" s="1" t="s">
        <v>107</v>
      </c>
    </row>
    <row r="6" spans="4:14" ht="12.75"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9</v>
      </c>
      <c r="N6" s="4"/>
    </row>
    <row r="7" spans="2:14" ht="12.75">
      <c r="B7" t="str">
        <f>+'Input Value'!I4</f>
        <v>Pellets</v>
      </c>
      <c r="C7" t="str">
        <f>+'Input Value'!I5</f>
        <v>tons</v>
      </c>
      <c r="D7" s="5">
        <f>'Input Value'!I6</f>
        <v>18080</v>
      </c>
      <c r="E7" s="5">
        <f>D7*(1+'Input Value'!$I$7)</f>
        <v>18260.8</v>
      </c>
      <c r="F7" s="5">
        <f>E7*(1+'Input Value'!$I$7)</f>
        <v>18443.408</v>
      </c>
      <c r="G7" s="5">
        <f>F7*(1+'Input Value'!$I$7)</f>
        <v>18627.84208</v>
      </c>
      <c r="H7" s="5">
        <f>G7*(1+'Input Value'!$I$7)</f>
        <v>18814.1205008</v>
      </c>
      <c r="I7" s="5">
        <f>H7*(1+'Input Value'!$I$7)</f>
        <v>19002.261705808</v>
      </c>
      <c r="J7" s="5">
        <f>I7*(1+'Input Value'!$I$7)</f>
        <v>19192.28432286608</v>
      </c>
      <c r="K7" s="5">
        <f>J7*(1+'Input Value'!$I$7)</f>
        <v>19384.20716609474</v>
      </c>
      <c r="L7" s="5">
        <f>K7*(1+'Input Value'!$I$7)</f>
        <v>19578.049237755687</v>
      </c>
      <c r="M7" s="5">
        <f>L7*(1+'Input Value'!$I$7)</f>
        <v>19773.829730133246</v>
      </c>
      <c r="N7" s="15"/>
    </row>
    <row r="8" spans="2:14" ht="12.75">
      <c r="B8" t="str">
        <f>+'Input Value'!K4</f>
        <v>Meal</v>
      </c>
      <c r="C8" t="str">
        <f>+'Input Value'!K5</f>
        <v>tons</v>
      </c>
      <c r="D8" s="5">
        <f>+'Input Value'!K6</f>
        <v>0</v>
      </c>
      <c r="E8" s="5">
        <f>+D8*(1+'Input Value'!$K$7)</f>
        <v>0</v>
      </c>
      <c r="F8" s="5">
        <f>+E8*(1+'Input Value'!$K$7)</f>
        <v>0</v>
      </c>
      <c r="G8" s="5">
        <f>+F8*(1+'Input Value'!$K$7)</f>
        <v>0</v>
      </c>
      <c r="H8" s="5">
        <f>+G8*(1+'Input Value'!$K$7)</f>
        <v>0</v>
      </c>
      <c r="I8" s="5">
        <f>+H8*(1+'Input Value'!$K$7)</f>
        <v>0</v>
      </c>
      <c r="J8" s="5">
        <f>+I8*(1+'Input Value'!$K$7)</f>
        <v>0</v>
      </c>
      <c r="K8" s="5">
        <f>+J8*(1+'Input Value'!$K$7)</f>
        <v>0</v>
      </c>
      <c r="L8" s="5">
        <f>+K8*(1+'Input Value'!$K$7)</f>
        <v>0</v>
      </c>
      <c r="M8" s="5">
        <f>+L8*(1+'Input Value'!$K$7)</f>
        <v>0</v>
      </c>
      <c r="N8" s="15"/>
    </row>
    <row r="9" spans="4:14" ht="12.75">
      <c r="D9" s="6">
        <f aca="true" t="shared" si="0" ref="D9:M9">SUM(D7:D8)</f>
        <v>18080</v>
      </c>
      <c r="E9" s="6">
        <f t="shared" si="0"/>
        <v>18260.8</v>
      </c>
      <c r="F9" s="6">
        <f t="shared" si="0"/>
        <v>18443.408</v>
      </c>
      <c r="G9" s="6">
        <f t="shared" si="0"/>
        <v>18627.84208</v>
      </c>
      <c r="H9" s="6">
        <f t="shared" si="0"/>
        <v>18814.1205008</v>
      </c>
      <c r="I9" s="6">
        <f t="shared" si="0"/>
        <v>19002.261705808</v>
      </c>
      <c r="J9" s="6">
        <f t="shared" si="0"/>
        <v>19192.28432286608</v>
      </c>
      <c r="K9" s="6">
        <f t="shared" si="0"/>
        <v>19384.20716609474</v>
      </c>
      <c r="L9" s="6">
        <f t="shared" si="0"/>
        <v>19578.049237755687</v>
      </c>
      <c r="M9" s="6">
        <f t="shared" si="0"/>
        <v>19773.829730133246</v>
      </c>
      <c r="N9" s="16"/>
    </row>
    <row r="10" spans="2:14" ht="12.75">
      <c r="B10" s="1" t="s">
        <v>145</v>
      </c>
      <c r="N10" s="15"/>
    </row>
    <row r="11" spans="2:14" ht="12.75">
      <c r="B11" s="1" t="s">
        <v>123</v>
      </c>
      <c r="N11" s="15"/>
    </row>
    <row r="12" spans="2:14" ht="12.75">
      <c r="B12" s="1"/>
      <c r="N12" s="15"/>
    </row>
    <row r="13" spans="3:14" ht="12.75">
      <c r="C13" s="2"/>
      <c r="D13" s="2" t="s">
        <v>0</v>
      </c>
      <c r="E13" s="2" t="s">
        <v>1</v>
      </c>
      <c r="F13" s="2" t="s">
        <v>2</v>
      </c>
      <c r="G13" s="2" t="s">
        <v>3</v>
      </c>
      <c r="H13" s="2" t="s">
        <v>4</v>
      </c>
      <c r="I13" s="2" t="s">
        <v>5</v>
      </c>
      <c r="J13" s="2" t="s">
        <v>6</v>
      </c>
      <c r="K13" s="2" t="s">
        <v>7</v>
      </c>
      <c r="L13" s="2" t="s">
        <v>8</v>
      </c>
      <c r="M13" s="2" t="s">
        <v>9</v>
      </c>
      <c r="N13" s="15"/>
    </row>
    <row r="14" spans="2:14" ht="12.75">
      <c r="B14" s="9" t="str">
        <f>'Market Projection'!B7</f>
        <v>Pellets</v>
      </c>
      <c r="N14" s="15"/>
    </row>
    <row r="15" spans="2:14" ht="12.75">
      <c r="B15" s="1" t="s">
        <v>11</v>
      </c>
      <c r="C15" s="5"/>
      <c r="D15" s="5">
        <f>'Market Projection'!D7</f>
        <v>18080</v>
      </c>
      <c r="E15" s="5">
        <f>'Market Projection'!E7</f>
        <v>18260.8</v>
      </c>
      <c r="F15" s="5">
        <f>'Market Projection'!F7</f>
        <v>18443.408</v>
      </c>
      <c r="G15" s="5">
        <f>'Market Projection'!G7</f>
        <v>18627.84208</v>
      </c>
      <c r="H15" s="5">
        <f>'Market Projection'!H7</f>
        <v>18814.1205008</v>
      </c>
      <c r="I15" s="5">
        <f>'Market Projection'!I7</f>
        <v>19002.261705808</v>
      </c>
      <c r="J15" s="5">
        <f>'Market Projection'!J7</f>
        <v>19192.28432286608</v>
      </c>
      <c r="K15" s="5">
        <f>'Market Projection'!K7</f>
        <v>19384.20716609474</v>
      </c>
      <c r="L15" s="5">
        <f>'Market Projection'!L7</f>
        <v>19578.049237755687</v>
      </c>
      <c r="M15" s="5">
        <f>'Market Projection'!M7</f>
        <v>19773.829730133246</v>
      </c>
      <c r="N15" s="15"/>
    </row>
    <row r="16" spans="2:14" ht="12.75">
      <c r="B16" s="1" t="s">
        <v>146</v>
      </c>
      <c r="C16" s="17"/>
      <c r="D16" s="14">
        <f>'Input Value'!$I8</f>
        <v>105</v>
      </c>
      <c r="E16" s="14">
        <f>'Input Value'!$I8</f>
        <v>105</v>
      </c>
      <c r="F16" s="14">
        <f>'Input Value'!$I8</f>
        <v>105</v>
      </c>
      <c r="G16" s="14">
        <f>'Input Value'!$I8</f>
        <v>105</v>
      </c>
      <c r="H16" s="14">
        <f>'Input Value'!$I8</f>
        <v>105</v>
      </c>
      <c r="I16" s="14">
        <f>'Input Value'!$I8</f>
        <v>105</v>
      </c>
      <c r="J16" s="14">
        <f>'Input Value'!$I8</f>
        <v>105</v>
      </c>
      <c r="K16" s="14">
        <f>'Input Value'!$I8</f>
        <v>105</v>
      </c>
      <c r="L16" s="14">
        <f>'Input Value'!$I8</f>
        <v>105</v>
      </c>
      <c r="M16" s="14">
        <f>'Input Value'!$I8</f>
        <v>105</v>
      </c>
      <c r="N16" s="16"/>
    </row>
    <row r="17" spans="2:14" ht="12.75">
      <c r="B17" s="1" t="s">
        <v>147</v>
      </c>
      <c r="C17" s="7"/>
      <c r="D17" s="7">
        <f aca="true" t="shared" si="1" ref="D17:M17">D15*D16</f>
        <v>1898400</v>
      </c>
      <c r="E17" s="7">
        <f t="shared" si="1"/>
        <v>1917384</v>
      </c>
      <c r="F17" s="7">
        <f t="shared" si="1"/>
        <v>1936557.8399999999</v>
      </c>
      <c r="G17" s="7">
        <f t="shared" si="1"/>
        <v>1955923.4183999998</v>
      </c>
      <c r="H17" s="7">
        <f t="shared" si="1"/>
        <v>1975482.652584</v>
      </c>
      <c r="I17" s="7">
        <f t="shared" si="1"/>
        <v>1995237.47910984</v>
      </c>
      <c r="J17" s="7">
        <f t="shared" si="1"/>
        <v>2015189.8539009383</v>
      </c>
      <c r="K17" s="7">
        <f t="shared" si="1"/>
        <v>2035341.7524399478</v>
      </c>
      <c r="L17" s="7">
        <f t="shared" si="1"/>
        <v>2055695.1699643473</v>
      </c>
      <c r="M17" s="7">
        <f t="shared" si="1"/>
        <v>2076252.121663991</v>
      </c>
      <c r="N17" s="16"/>
    </row>
    <row r="18" ht="12.75">
      <c r="N18" s="15"/>
    </row>
    <row r="19" spans="2:14" ht="12.75">
      <c r="B19" s="1" t="str">
        <f>'Market Projection'!B8</f>
        <v>Meal</v>
      </c>
      <c r="N19" s="15"/>
    </row>
    <row r="20" spans="2:14" ht="12.75">
      <c r="B20" s="1" t="str">
        <f>B15</f>
        <v>Total Volume</v>
      </c>
      <c r="C20" s="5"/>
      <c r="D20" s="5">
        <f>'Market Projection'!D8</f>
        <v>0</v>
      </c>
      <c r="E20" s="5">
        <f>'Market Projection'!E8</f>
        <v>0</v>
      </c>
      <c r="F20" s="5">
        <f>'Market Projection'!F8</f>
        <v>0</v>
      </c>
      <c r="G20" s="5">
        <f>'Market Projection'!G8</f>
        <v>0</v>
      </c>
      <c r="H20" s="5">
        <f>'Market Projection'!H8</f>
        <v>0</v>
      </c>
      <c r="I20" s="5">
        <f>'Market Projection'!I8</f>
        <v>0</v>
      </c>
      <c r="J20" s="5">
        <f>'Market Projection'!J8</f>
        <v>0</v>
      </c>
      <c r="K20" s="5">
        <f>'Market Projection'!K8</f>
        <v>0</v>
      </c>
      <c r="L20" s="5">
        <f>'Market Projection'!L8</f>
        <v>0</v>
      </c>
      <c r="M20" s="5">
        <f>'Market Projection'!M8</f>
        <v>0</v>
      </c>
      <c r="N20" s="15"/>
    </row>
    <row r="21" spans="2:14" ht="12.75">
      <c r="B21" s="1" t="str">
        <f>B16</f>
        <v>Price/Unit</v>
      </c>
      <c r="C21" s="17"/>
      <c r="D21" s="17">
        <f>'Input Value'!$K8</f>
        <v>108.5</v>
      </c>
      <c r="E21" s="17">
        <f>'Input Value'!$K8</f>
        <v>108.5</v>
      </c>
      <c r="F21" s="17">
        <f>'Input Value'!$K8</f>
        <v>108.5</v>
      </c>
      <c r="G21" s="17">
        <f>'Input Value'!$K8</f>
        <v>108.5</v>
      </c>
      <c r="H21" s="17">
        <f>'Input Value'!$K8</f>
        <v>108.5</v>
      </c>
      <c r="I21" s="17">
        <f>'Input Value'!$K8</f>
        <v>108.5</v>
      </c>
      <c r="J21" s="17">
        <f>'Input Value'!$K8</f>
        <v>108.5</v>
      </c>
      <c r="K21" s="17">
        <f>'Input Value'!$K8</f>
        <v>108.5</v>
      </c>
      <c r="L21" s="17">
        <f>'Input Value'!$K8</f>
        <v>108.5</v>
      </c>
      <c r="M21" s="17">
        <f>'Input Value'!$K8</f>
        <v>108.5</v>
      </c>
      <c r="N21" s="15"/>
    </row>
    <row r="22" spans="2:14" ht="12.75">
      <c r="B22" s="1" t="str">
        <f>B17</f>
        <v>Gross Sales</v>
      </c>
      <c r="C22" s="7"/>
      <c r="D22" s="7">
        <f aca="true" t="shared" si="2" ref="D22:M22">D20*D21</f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16"/>
    </row>
    <row r="23" ht="12.75">
      <c r="N23" s="16"/>
    </row>
    <row r="24" spans="2:13" ht="12.75">
      <c r="B24" s="1" t="s">
        <v>148</v>
      </c>
      <c r="D24" s="7">
        <f>+D17+D22</f>
        <v>1898400</v>
      </c>
      <c r="E24" s="7">
        <f aca="true" t="shared" si="3" ref="E24:M24">+E17+E22</f>
        <v>1917384</v>
      </c>
      <c r="F24" s="7">
        <f t="shared" si="3"/>
        <v>1936557.8399999999</v>
      </c>
      <c r="G24" s="7">
        <f t="shared" si="3"/>
        <v>1955923.4183999998</v>
      </c>
      <c r="H24" s="7">
        <f t="shared" si="3"/>
        <v>1975482.652584</v>
      </c>
      <c r="I24" s="7">
        <f t="shared" si="3"/>
        <v>1995237.47910984</v>
      </c>
      <c r="J24" s="7">
        <f t="shared" si="3"/>
        <v>2015189.8539009383</v>
      </c>
      <c r="K24" s="7">
        <f t="shared" si="3"/>
        <v>2035341.7524399478</v>
      </c>
      <c r="L24" s="7">
        <f t="shared" si="3"/>
        <v>2055695.1699643473</v>
      </c>
      <c r="M24" s="7">
        <f t="shared" si="3"/>
        <v>2076252.121663991</v>
      </c>
    </row>
    <row r="26" ht="12.75">
      <c r="B26" s="1" t="s">
        <v>114</v>
      </c>
    </row>
    <row r="27" spans="2:13" ht="12.75">
      <c r="B27" t="str">
        <f>'Input Value'!I4</f>
        <v>Pellets</v>
      </c>
      <c r="D27" s="21">
        <f>+D15*'Input Value'!$J$19</f>
        <v>799591.8222222222</v>
      </c>
      <c r="E27" s="21">
        <f>+E15*'Input Value'!$J$19</f>
        <v>807587.7404444445</v>
      </c>
      <c r="F27" s="21">
        <f>+F15*'Input Value'!$J$19</f>
        <v>815663.6178488889</v>
      </c>
      <c r="G27" s="21">
        <f>+G15*'Input Value'!$J$19</f>
        <v>823820.2540273777</v>
      </c>
      <c r="H27" s="21">
        <f>+H15*'Input Value'!$J$19</f>
        <v>832058.4565676516</v>
      </c>
      <c r="I27" s="21">
        <f>+I15*'Input Value'!$J$19</f>
        <v>840379.0411333281</v>
      </c>
      <c r="J27" s="21">
        <f>+J15*'Input Value'!$J$19</f>
        <v>848782.8315446613</v>
      </c>
      <c r="K27" s="21">
        <f>+K15*'Input Value'!$J$19</f>
        <v>857270.6598601079</v>
      </c>
      <c r="L27" s="21">
        <f>+L15*'Input Value'!$J$19</f>
        <v>865843.366458709</v>
      </c>
      <c r="M27" s="21">
        <f>+M15*'Input Value'!$J$19</f>
        <v>874501.8001232962</v>
      </c>
    </row>
    <row r="28" spans="2:13" ht="12.75">
      <c r="B28" t="str">
        <f>'Input Value'!K4</f>
        <v>Meal</v>
      </c>
      <c r="C28" s="5"/>
      <c r="D28" s="21">
        <f>+D20*'Input Value'!$J$20</f>
        <v>0</v>
      </c>
      <c r="E28" s="21">
        <f>+E20*'Input Value'!$J$20</f>
        <v>0</v>
      </c>
      <c r="F28" s="21">
        <f>+F20*'Input Value'!$J$20</f>
        <v>0</v>
      </c>
      <c r="G28" s="21">
        <f>+G20*'Input Value'!$J$20</f>
        <v>0</v>
      </c>
      <c r="H28" s="21">
        <f>+H20*'Input Value'!$J$20</f>
        <v>0</v>
      </c>
      <c r="I28" s="21">
        <f>+I20*'Input Value'!$J$20</f>
        <v>0</v>
      </c>
      <c r="J28" s="21">
        <f>+J20*'Input Value'!$J$20</f>
        <v>0</v>
      </c>
      <c r="K28" s="21">
        <f>+K20*'Input Value'!$J$20</f>
        <v>0</v>
      </c>
      <c r="L28" s="21">
        <f>+L20*'Input Value'!$J$20</f>
        <v>0</v>
      </c>
      <c r="M28" s="21">
        <f>+M20*'Input Value'!$J$20</f>
        <v>0</v>
      </c>
    </row>
    <row r="29" spans="2:13" ht="12.75">
      <c r="B29" s="1" t="s">
        <v>115</v>
      </c>
      <c r="D29" s="22">
        <f aca="true" t="shared" si="4" ref="D29:M29">SUM(D27:D28)</f>
        <v>799591.8222222222</v>
      </c>
      <c r="E29" s="22">
        <f t="shared" si="4"/>
        <v>807587.7404444445</v>
      </c>
      <c r="F29" s="22">
        <f t="shared" si="4"/>
        <v>815663.6178488889</v>
      </c>
      <c r="G29" s="22">
        <f t="shared" si="4"/>
        <v>823820.2540273777</v>
      </c>
      <c r="H29" s="22">
        <f t="shared" si="4"/>
        <v>832058.4565676516</v>
      </c>
      <c r="I29" s="22">
        <f t="shared" si="4"/>
        <v>840379.0411333281</v>
      </c>
      <c r="J29" s="22">
        <f t="shared" si="4"/>
        <v>848782.8315446613</v>
      </c>
      <c r="K29" s="22">
        <f t="shared" si="4"/>
        <v>857270.6598601079</v>
      </c>
      <c r="L29" s="22">
        <f t="shared" si="4"/>
        <v>865843.366458709</v>
      </c>
      <c r="M29" s="22">
        <f t="shared" si="4"/>
        <v>874501.8001232962</v>
      </c>
    </row>
    <row r="32" spans="3:12" ht="12.75"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3:12" ht="12.75"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 sheet="1" objects="1" scenarios="1"/>
  <hyperlinks>
    <hyperlink ref="B3" location="'Input Value'!A1" display="BACK TO INPUTS"/>
    <hyperlink ref="B4" location="'Return On Investment'!A1" display="FORWARD TO RESUL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workbookViewId="0" topLeftCell="A1">
      <selection activeCell="D3" sqref="D3"/>
    </sheetView>
  </sheetViews>
  <sheetFormatPr defaultColWidth="9.140625" defaultRowHeight="12.75"/>
  <cols>
    <col min="1" max="1" width="2.00390625" style="0" customWidth="1"/>
    <col min="2" max="2" width="23.28125" style="0" bestFit="1" customWidth="1"/>
    <col min="3" max="3" width="10.7109375" style="0" bestFit="1" customWidth="1"/>
    <col min="4" max="11" width="8.57421875" style="0" bestFit="1" customWidth="1"/>
    <col min="12" max="12" width="7.7109375" style="0" bestFit="1" customWidth="1"/>
  </cols>
  <sheetData>
    <row r="1" ht="8.25" customHeight="1" thickBot="1"/>
    <row r="2" ht="13.5" thickBot="1">
      <c r="B2" s="61" t="s">
        <v>253</v>
      </c>
    </row>
    <row r="3" ht="13.5" thickBot="1">
      <c r="B3" s="75" t="s">
        <v>252</v>
      </c>
    </row>
    <row r="4" ht="13.5" thickBot="1">
      <c r="B4" s="76" t="s">
        <v>247</v>
      </c>
    </row>
    <row r="6" ht="12.75">
      <c r="B6" s="1" t="s">
        <v>142</v>
      </c>
    </row>
    <row r="8" spans="2:3" ht="12.75">
      <c r="B8" s="1" t="s">
        <v>13</v>
      </c>
      <c r="C8" s="13">
        <f>Depreciation!D35</f>
        <v>1370000</v>
      </c>
    </row>
    <row r="9" spans="2:3" ht="12.75">
      <c r="B9" s="1" t="s">
        <v>16</v>
      </c>
      <c r="C9" s="12">
        <f>'Input Value'!C5</f>
        <v>0.075</v>
      </c>
    </row>
    <row r="10" spans="2:3" ht="12.75">
      <c r="B10" s="1" t="s">
        <v>17</v>
      </c>
      <c r="C10" s="12">
        <f>'Input Value'!C4</f>
        <v>0.5</v>
      </c>
    </row>
    <row r="11" spans="2:3" ht="12.75">
      <c r="B11" s="1" t="s">
        <v>14</v>
      </c>
      <c r="C11" s="13">
        <f>+C8*C10</f>
        <v>685000</v>
      </c>
    </row>
    <row r="12" spans="2:3" ht="12.75">
      <c r="B12" s="1" t="s">
        <v>15</v>
      </c>
      <c r="C12" s="23">
        <f>'Input Value'!C6</f>
        <v>10</v>
      </c>
    </row>
    <row r="14" ht="12.75">
      <c r="C14" s="8"/>
    </row>
    <row r="16" spans="3:12" ht="12.75"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  <c r="K16" s="2" t="s">
        <v>8</v>
      </c>
      <c r="L16" s="2" t="s">
        <v>9</v>
      </c>
    </row>
    <row r="17" spans="2:12" ht="12.75">
      <c r="B17" s="1" t="s">
        <v>19</v>
      </c>
      <c r="C17" s="11">
        <f>$C$11</f>
        <v>685000</v>
      </c>
      <c r="D17" s="11">
        <f>C24</f>
        <v>636580.1397131062</v>
      </c>
      <c r="E17" s="11">
        <f aca="true" t="shared" si="0" ref="E17:L17">D24</f>
        <v>584528.7899046954</v>
      </c>
      <c r="F17" s="11">
        <f t="shared" si="0"/>
        <v>528573.5888606537</v>
      </c>
      <c r="G17" s="11">
        <f t="shared" si="0"/>
        <v>468421.7477383089</v>
      </c>
      <c r="H17" s="11">
        <f t="shared" si="0"/>
        <v>403758.51853178826</v>
      </c>
      <c r="I17" s="11">
        <f t="shared" si="0"/>
        <v>334245.5471347786</v>
      </c>
      <c r="J17" s="11">
        <f t="shared" si="0"/>
        <v>259519.10288299317</v>
      </c>
      <c r="K17" s="11">
        <f t="shared" si="0"/>
        <v>179188.17531232384</v>
      </c>
      <c r="L17" s="11">
        <f t="shared" si="0"/>
        <v>92832.42817385434</v>
      </c>
    </row>
    <row r="18" spans="2:12" ht="12.75">
      <c r="B18" s="1" t="s">
        <v>20</v>
      </c>
      <c r="C18" s="10">
        <f>$C$9</f>
        <v>0.075</v>
      </c>
      <c r="D18" s="10">
        <f aca="true" t="shared" si="1" ref="D18:L18">$C$9</f>
        <v>0.075</v>
      </c>
      <c r="E18" s="10">
        <f t="shared" si="1"/>
        <v>0.075</v>
      </c>
      <c r="F18" s="10">
        <f t="shared" si="1"/>
        <v>0.075</v>
      </c>
      <c r="G18" s="10">
        <f t="shared" si="1"/>
        <v>0.075</v>
      </c>
      <c r="H18" s="10">
        <f t="shared" si="1"/>
        <v>0.075</v>
      </c>
      <c r="I18" s="10">
        <f t="shared" si="1"/>
        <v>0.075</v>
      </c>
      <c r="J18" s="10">
        <f t="shared" si="1"/>
        <v>0.075</v>
      </c>
      <c r="K18" s="10">
        <f t="shared" si="1"/>
        <v>0.075</v>
      </c>
      <c r="L18" s="10">
        <f t="shared" si="1"/>
        <v>0.075</v>
      </c>
    </row>
    <row r="19" spans="2:12" ht="12.75">
      <c r="B19" s="1" t="s">
        <v>21</v>
      </c>
      <c r="C19" s="11">
        <f>C17*C18</f>
        <v>51375</v>
      </c>
      <c r="D19" s="11">
        <f aca="true" t="shared" si="2" ref="D19:L19">D17*D18</f>
        <v>47743.51047848297</v>
      </c>
      <c r="E19" s="11">
        <f t="shared" si="2"/>
        <v>43839.65924285215</v>
      </c>
      <c r="F19" s="11">
        <f t="shared" si="2"/>
        <v>39643.01916454903</v>
      </c>
      <c r="G19" s="11">
        <f t="shared" si="2"/>
        <v>35131.63108037317</v>
      </c>
      <c r="H19" s="11">
        <f t="shared" si="2"/>
        <v>30281.888889884118</v>
      </c>
      <c r="I19" s="11">
        <f t="shared" si="2"/>
        <v>25068.416035108392</v>
      </c>
      <c r="J19" s="11">
        <f t="shared" si="2"/>
        <v>19463.932716224488</v>
      </c>
      <c r="K19" s="11">
        <f t="shared" si="2"/>
        <v>13439.113148424289</v>
      </c>
      <c r="L19" s="11">
        <f t="shared" si="2"/>
        <v>6962.432113039075</v>
      </c>
    </row>
    <row r="20" ht="12.75">
      <c r="B20" s="1"/>
    </row>
    <row r="21" spans="2:12" ht="12.75">
      <c r="B21" s="1" t="s">
        <v>22</v>
      </c>
      <c r="C21" s="11">
        <f aca="true" t="shared" si="3" ref="C21:L21">PMT(C18,$C$12,-$C$11)</f>
        <v>99794.8602868938</v>
      </c>
      <c r="D21" s="11">
        <f t="shared" si="3"/>
        <v>99794.8602868938</v>
      </c>
      <c r="E21" s="11">
        <f t="shared" si="3"/>
        <v>99794.8602868938</v>
      </c>
      <c r="F21" s="11">
        <f t="shared" si="3"/>
        <v>99794.8602868938</v>
      </c>
      <c r="G21" s="11">
        <f t="shared" si="3"/>
        <v>99794.8602868938</v>
      </c>
      <c r="H21" s="11">
        <f t="shared" si="3"/>
        <v>99794.8602868938</v>
      </c>
      <c r="I21" s="11">
        <f t="shared" si="3"/>
        <v>99794.8602868938</v>
      </c>
      <c r="J21" s="11">
        <f t="shared" si="3"/>
        <v>99794.8602868938</v>
      </c>
      <c r="K21" s="11">
        <f t="shared" si="3"/>
        <v>99794.8602868938</v>
      </c>
      <c r="L21" s="11">
        <f t="shared" si="3"/>
        <v>99794.8602868938</v>
      </c>
    </row>
    <row r="22" spans="2:12" ht="12.75">
      <c r="B22" s="1" t="s">
        <v>23</v>
      </c>
      <c r="C22" s="11">
        <f>C21-C19</f>
        <v>48419.8602868938</v>
      </c>
      <c r="D22" s="11">
        <f aca="true" t="shared" si="4" ref="D22:L22">D21-D19</f>
        <v>52051.349808410836</v>
      </c>
      <c r="E22" s="11">
        <f t="shared" si="4"/>
        <v>55955.201044041656</v>
      </c>
      <c r="F22" s="11">
        <f t="shared" si="4"/>
        <v>60151.84112234478</v>
      </c>
      <c r="G22" s="11">
        <f t="shared" si="4"/>
        <v>64663.229206520635</v>
      </c>
      <c r="H22" s="11">
        <f t="shared" si="4"/>
        <v>69512.97139700968</v>
      </c>
      <c r="I22" s="11">
        <f t="shared" si="4"/>
        <v>74726.4442517854</v>
      </c>
      <c r="J22" s="11">
        <f t="shared" si="4"/>
        <v>80330.92757066932</v>
      </c>
      <c r="K22" s="11">
        <f t="shared" si="4"/>
        <v>86355.74713846951</v>
      </c>
      <c r="L22" s="11">
        <f t="shared" si="4"/>
        <v>92832.42817385473</v>
      </c>
    </row>
    <row r="23" ht="12.75">
      <c r="B23" s="1"/>
    </row>
    <row r="24" spans="2:12" ht="12.75">
      <c r="B24" s="1" t="s">
        <v>24</v>
      </c>
      <c r="C24" s="11">
        <f>C17-C22</f>
        <v>636580.1397131062</v>
      </c>
      <c r="D24" s="11">
        <f aca="true" t="shared" si="5" ref="D24:L24">D17-D22</f>
        <v>584528.7899046954</v>
      </c>
      <c r="E24" s="11">
        <f t="shared" si="5"/>
        <v>528573.5888606537</v>
      </c>
      <c r="F24" s="11">
        <f t="shared" si="5"/>
        <v>468421.7477383089</v>
      </c>
      <c r="G24" s="11">
        <f t="shared" si="5"/>
        <v>403758.51853178826</v>
      </c>
      <c r="H24" s="11">
        <f t="shared" si="5"/>
        <v>334245.5471347786</v>
      </c>
      <c r="I24" s="11">
        <f t="shared" si="5"/>
        <v>259519.10288299317</v>
      </c>
      <c r="J24" s="11">
        <f t="shared" si="5"/>
        <v>179188.17531232384</v>
      </c>
      <c r="K24" s="11">
        <f t="shared" si="5"/>
        <v>92832.42817385434</v>
      </c>
      <c r="L24" s="11">
        <f t="shared" si="5"/>
        <v>-3.92901711165905E-10</v>
      </c>
    </row>
    <row r="27" spans="2:3" ht="12.75">
      <c r="B27" s="1" t="s">
        <v>18</v>
      </c>
      <c r="C27" s="13">
        <f>'Input Value'!C9</f>
        <v>1296938.7466666666</v>
      </c>
    </row>
    <row r="28" spans="2:3" ht="12.75">
      <c r="B28" s="1" t="s">
        <v>25</v>
      </c>
      <c r="C28" s="12">
        <f>'Input Value'!C10</f>
        <v>0.06</v>
      </c>
    </row>
    <row r="29" spans="2:3" ht="12.75">
      <c r="B29" s="1" t="s">
        <v>26</v>
      </c>
      <c r="C29" s="7">
        <f>C27*C28</f>
        <v>77816.32479999999</v>
      </c>
    </row>
    <row r="31" spans="2:12" ht="12.75">
      <c r="B31" s="1" t="s">
        <v>27</v>
      </c>
      <c r="C31" s="11">
        <f>C19+$C$29</f>
        <v>129191.32479999999</v>
      </c>
      <c r="D31" s="11">
        <f aca="true" t="shared" si="6" ref="D31:L31">D19+$C$29</f>
        <v>125559.83527848296</v>
      </c>
      <c r="E31" s="11">
        <f t="shared" si="6"/>
        <v>121655.98404285213</v>
      </c>
      <c r="F31" s="11">
        <f t="shared" si="6"/>
        <v>117459.34396454901</v>
      </c>
      <c r="G31" s="11">
        <f t="shared" si="6"/>
        <v>112947.95588037316</v>
      </c>
      <c r="H31" s="11">
        <f t="shared" si="6"/>
        <v>108098.21368988411</v>
      </c>
      <c r="I31" s="11">
        <f t="shared" si="6"/>
        <v>102884.74083510839</v>
      </c>
      <c r="J31" s="11">
        <f t="shared" si="6"/>
        <v>97280.25751622448</v>
      </c>
      <c r="K31" s="11">
        <f t="shared" si="6"/>
        <v>91255.43794842428</v>
      </c>
      <c r="L31" s="11">
        <f t="shared" si="6"/>
        <v>84778.75691303906</v>
      </c>
    </row>
  </sheetData>
  <sheetProtection sheet="1" objects="1" scenarios="1"/>
  <hyperlinks>
    <hyperlink ref="B3" location="'Input Value'!A1" display="BACK TO INPUTS"/>
    <hyperlink ref="B4" location="'Return On Investment'!A1" display="FORWARD TO RESULTS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1"/>
  <sheetViews>
    <sheetView showGridLines="0" showRowColHeaders="0" workbookViewId="0" topLeftCell="A1">
      <selection activeCell="B3" sqref="B3:C3"/>
    </sheetView>
  </sheetViews>
  <sheetFormatPr defaultColWidth="9.140625" defaultRowHeight="12.75"/>
  <cols>
    <col min="1" max="1" width="1.7109375" style="39" customWidth="1"/>
    <col min="2" max="2" width="16.8515625" style="39" customWidth="1"/>
    <col min="3" max="3" width="9.140625" style="135" bestFit="1" customWidth="1"/>
    <col min="4" max="4" width="11.00390625" style="135" customWidth="1"/>
    <col min="5" max="5" width="12.7109375" style="135" customWidth="1"/>
    <col min="6" max="6" width="11.7109375" style="39" customWidth="1"/>
    <col min="7" max="7" width="12.00390625" style="39" customWidth="1"/>
    <col min="8" max="16384" width="9.140625" style="39" customWidth="1"/>
  </cols>
  <sheetData>
    <row r="1" ht="6.75" customHeight="1" thickBot="1"/>
    <row r="2" spans="2:3" ht="13.5" thickBot="1">
      <c r="B2" s="247" t="s">
        <v>253</v>
      </c>
      <c r="C2" s="248"/>
    </row>
    <row r="3" spans="2:3" ht="13.5" thickBot="1">
      <c r="B3" s="249" t="s">
        <v>252</v>
      </c>
      <c r="C3" s="248"/>
    </row>
    <row r="4" spans="2:3" ht="13.5" thickBot="1">
      <c r="B4" s="249" t="s">
        <v>247</v>
      </c>
      <c r="C4" s="248"/>
    </row>
    <row r="6" ht="12.75">
      <c r="B6" s="119" t="s">
        <v>124</v>
      </c>
    </row>
    <row r="7" ht="12.75">
      <c r="B7" s="119" t="s">
        <v>125</v>
      </c>
    </row>
    <row r="9" spans="2:7" ht="12.75">
      <c r="B9" s="121" t="s">
        <v>29</v>
      </c>
      <c r="C9" s="122" t="s">
        <v>30</v>
      </c>
      <c r="D9" s="122" t="s">
        <v>32</v>
      </c>
      <c r="E9" s="122" t="s">
        <v>104</v>
      </c>
      <c r="F9" s="122" t="s">
        <v>31</v>
      </c>
      <c r="G9" s="122" t="s">
        <v>56</v>
      </c>
    </row>
    <row r="11" spans="2:7" ht="12.75">
      <c r="B11" s="183" t="s">
        <v>160</v>
      </c>
      <c r="C11" s="25">
        <v>45000</v>
      </c>
      <c r="D11" s="120">
        <f>'Input Value'!$C$20*C11</f>
        <v>13500.000000000002</v>
      </c>
      <c r="E11" s="26">
        <v>0.05</v>
      </c>
      <c r="F11" s="39">
        <f>+(C11)*E11</f>
        <v>2250</v>
      </c>
      <c r="G11" s="120">
        <f>+C11+D11+F11</f>
        <v>60750</v>
      </c>
    </row>
    <row r="12" spans="2:7" ht="12.75">
      <c r="B12" s="182"/>
      <c r="C12" s="24"/>
      <c r="D12" s="120"/>
      <c r="E12" s="28"/>
      <c r="G12" s="120"/>
    </row>
    <row r="13" spans="2:7" ht="12.75">
      <c r="B13" s="183" t="s">
        <v>162</v>
      </c>
      <c r="C13" s="25">
        <v>38400</v>
      </c>
      <c r="D13" s="120">
        <f>'Input Value'!$C$20*C13</f>
        <v>11520.000000000002</v>
      </c>
      <c r="E13" s="26">
        <v>0.05</v>
      </c>
      <c r="F13" s="39">
        <f>+(C13)*E13</f>
        <v>1920</v>
      </c>
      <c r="G13" s="120">
        <f>+C13+D13+F13</f>
        <v>51840</v>
      </c>
    </row>
    <row r="14" spans="2:7" ht="12.75">
      <c r="B14" s="182"/>
      <c r="C14" s="24"/>
      <c r="D14" s="120"/>
      <c r="E14" s="28"/>
      <c r="G14" s="120"/>
    </row>
    <row r="15" spans="2:7" ht="12.75">
      <c r="B15" s="183" t="s">
        <v>159</v>
      </c>
      <c r="C15" s="25">
        <v>249600</v>
      </c>
      <c r="D15" s="120">
        <f>'Input Value'!$C$20*C15</f>
        <v>74880.00000000001</v>
      </c>
      <c r="E15" s="26">
        <v>0.05</v>
      </c>
      <c r="F15" s="39">
        <f>+(C15)*E15</f>
        <v>12480</v>
      </c>
      <c r="G15" s="120">
        <f>+C15+D15+F15</f>
        <v>336960</v>
      </c>
    </row>
    <row r="16" spans="2:7" ht="12.75">
      <c r="B16" s="182"/>
      <c r="C16" s="24"/>
      <c r="D16" s="120"/>
      <c r="E16" s="28"/>
      <c r="G16" s="120"/>
    </row>
    <row r="17" spans="2:7" ht="12.75">
      <c r="B17" s="183" t="s">
        <v>161</v>
      </c>
      <c r="C17" s="25">
        <v>0</v>
      </c>
      <c r="D17" s="120">
        <f>'Input Value'!$C$20*C17</f>
        <v>0</v>
      </c>
      <c r="E17" s="26">
        <v>0.05</v>
      </c>
      <c r="F17" s="39">
        <f>+(C17)*E17</f>
        <v>0</v>
      </c>
      <c r="G17" s="120">
        <f>+C17+D17+F17</f>
        <v>0</v>
      </c>
    </row>
    <row r="18" spans="3:7" ht="12.75">
      <c r="C18" s="120"/>
      <c r="D18" s="120"/>
      <c r="G18" s="120"/>
    </row>
    <row r="19" spans="2:7" ht="12.75">
      <c r="B19" s="148" t="s">
        <v>141</v>
      </c>
      <c r="C19" s="149">
        <f>SUM(C10:C18)</f>
        <v>333000</v>
      </c>
      <c r="D19" s="149">
        <f>SUM(D10:D18)</f>
        <v>99900.00000000001</v>
      </c>
      <c r="E19" s="150"/>
      <c r="F19" s="149">
        <f>SUM(F10:F18)</f>
        <v>16650</v>
      </c>
      <c r="G19" s="149">
        <f>SUM(G10:G18)</f>
        <v>449550</v>
      </c>
    </row>
    <row r="20" ht="12.75">
      <c r="B20" s="119" t="s">
        <v>105</v>
      </c>
    </row>
    <row r="21" spans="6:11" ht="12.75">
      <c r="F21" s="135"/>
      <c r="G21" s="135"/>
      <c r="H21" s="135"/>
      <c r="I21" s="135"/>
      <c r="J21" s="135"/>
      <c r="K21" s="135"/>
    </row>
  </sheetData>
  <sheetProtection sheet="1" objects="1" scenarios="1"/>
  <mergeCells count="3">
    <mergeCell ref="B2:C2"/>
    <mergeCell ref="B3:C3"/>
    <mergeCell ref="B4:C4"/>
  </mergeCells>
  <hyperlinks>
    <hyperlink ref="B3" location="'Input Value'!A1" display="BACK TO INPUTS"/>
    <hyperlink ref="B4" location="'Return On Investment'!A1" display="FORWARD TO RESULTS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49"/>
  <sheetViews>
    <sheetView showGridLines="0" showRowColHeaders="0" workbookViewId="0" topLeftCell="A13">
      <selection activeCell="E40" sqref="E40"/>
    </sheetView>
  </sheetViews>
  <sheetFormatPr defaultColWidth="9.140625" defaultRowHeight="12.75"/>
  <cols>
    <col min="1" max="1" width="2.00390625" style="39" customWidth="1"/>
    <col min="2" max="2" width="19.57421875" style="119" customWidth="1"/>
    <col min="3" max="3" width="9.140625" style="39" customWidth="1"/>
    <col min="4" max="4" width="12.28125" style="39" bestFit="1" customWidth="1"/>
    <col min="5" max="12" width="10.7109375" style="39" bestFit="1" customWidth="1"/>
    <col min="13" max="13" width="10.7109375" style="125" bestFit="1" customWidth="1"/>
    <col min="14" max="16384" width="9.140625" style="39" customWidth="1"/>
  </cols>
  <sheetData>
    <row r="1" ht="5.25" customHeight="1" thickBot="1"/>
    <row r="2" spans="2:3" ht="13.5" thickBot="1">
      <c r="B2" s="250" t="s">
        <v>253</v>
      </c>
      <c r="C2" s="251"/>
    </row>
    <row r="3" spans="2:3" ht="13.5" thickBot="1">
      <c r="B3" s="249" t="s">
        <v>252</v>
      </c>
      <c r="C3" s="248"/>
    </row>
    <row r="4" spans="2:3" ht="13.5" thickBot="1">
      <c r="B4" s="252" t="s">
        <v>247</v>
      </c>
      <c r="C4" s="253"/>
    </row>
    <row r="6" ht="12.75">
      <c r="B6" s="119" t="s">
        <v>295</v>
      </c>
    </row>
    <row r="8" spans="2:13" ht="12.75">
      <c r="B8" s="121" t="s">
        <v>28</v>
      </c>
      <c r="C8" s="121" t="s">
        <v>12</v>
      </c>
      <c r="D8" s="121" t="s">
        <v>0</v>
      </c>
      <c r="E8" s="121" t="s">
        <v>1</v>
      </c>
      <c r="F8" s="121" t="s">
        <v>2</v>
      </c>
      <c r="G8" s="121" t="s">
        <v>3</v>
      </c>
      <c r="H8" s="121" t="s">
        <v>4</v>
      </c>
      <c r="I8" s="121" t="s">
        <v>5</v>
      </c>
      <c r="J8" s="121" t="s">
        <v>6</v>
      </c>
      <c r="K8" s="121" t="s">
        <v>7</v>
      </c>
      <c r="L8" s="121" t="s">
        <v>8</v>
      </c>
      <c r="M8" s="121" t="s">
        <v>9</v>
      </c>
    </row>
    <row r="9" spans="2:13" ht="12.75">
      <c r="B9" s="119" t="s">
        <v>33</v>
      </c>
      <c r="C9" s="120">
        <f>'Personnel Expenses'!C19</f>
        <v>333000</v>
      </c>
      <c r="D9" s="120">
        <f>C9*(1+'Input Value'!$C$21)</f>
        <v>336330</v>
      </c>
      <c r="E9" s="120">
        <f>D9*(1+'Input Value'!$C$21)</f>
        <v>339693.3</v>
      </c>
      <c r="F9" s="120">
        <f>E9*(1+'Input Value'!$C$21)</f>
        <v>343090.233</v>
      </c>
      <c r="G9" s="120">
        <f>F9*(1+'Input Value'!$C$21)</f>
        <v>346521.13533</v>
      </c>
      <c r="H9" s="120">
        <f>G9*(1+'Input Value'!$C$21)</f>
        <v>349986.34668330004</v>
      </c>
      <c r="I9" s="120">
        <f>H9*(1+'Input Value'!$C$21)</f>
        <v>353486.21015013306</v>
      </c>
      <c r="J9" s="120">
        <f>I9*(1+'Input Value'!$C$21)</f>
        <v>357021.0722516344</v>
      </c>
      <c r="K9" s="120">
        <f>J9*(1+'Input Value'!$C$21)</f>
        <v>360591.28297415073</v>
      </c>
      <c r="L9" s="120">
        <f>K9*(1+'Input Value'!$C$21)</f>
        <v>364197.1958038922</v>
      </c>
      <c r="M9" s="120">
        <f>L9*(1+'Input Value'!$C$21)</f>
        <v>367839.16776193114</v>
      </c>
    </row>
    <row r="10" spans="2:13" ht="12.75">
      <c r="B10" s="119" t="s">
        <v>32</v>
      </c>
      <c r="C10" s="120">
        <f>'Personnel Expenses'!D19</f>
        <v>99900.00000000001</v>
      </c>
      <c r="D10" s="120">
        <f>C10*(1+'Input Value'!$C$21)</f>
        <v>100899.00000000001</v>
      </c>
      <c r="E10" s="120">
        <f>D10*(1+'Input Value'!$C$21)</f>
        <v>101907.99000000002</v>
      </c>
      <c r="F10" s="120">
        <f>E10*(1+'Input Value'!$C$21)</f>
        <v>102927.06990000002</v>
      </c>
      <c r="G10" s="120">
        <f>F10*(1+'Input Value'!$C$21)</f>
        <v>103956.34059900002</v>
      </c>
      <c r="H10" s="120">
        <f>G10*(1+'Input Value'!$C$21)</f>
        <v>104995.90400499002</v>
      </c>
      <c r="I10" s="120">
        <f>H10*(1+'Input Value'!$C$21)</f>
        <v>106045.86304503992</v>
      </c>
      <c r="J10" s="120">
        <f>I10*(1+'Input Value'!$C$21)</f>
        <v>107106.32167549033</v>
      </c>
      <c r="K10" s="120">
        <f>J10*(1+'Input Value'!$C$21)</f>
        <v>108177.38489224523</v>
      </c>
      <c r="L10" s="120">
        <f>K10*(1+'Input Value'!$C$21)</f>
        <v>109259.15874116769</v>
      </c>
      <c r="M10" s="120">
        <f>L10*(1+'Input Value'!$C$21)</f>
        <v>110351.75032857936</v>
      </c>
    </row>
    <row r="11" spans="2:13" ht="12.75">
      <c r="B11" s="119" t="s">
        <v>31</v>
      </c>
      <c r="C11" s="120">
        <f>'Personnel Expenses'!F19</f>
        <v>16650</v>
      </c>
      <c r="D11" s="120">
        <f>C11*(1+'Input Value'!$C$21)</f>
        <v>16816.5</v>
      </c>
      <c r="E11" s="120">
        <f>D11*(1+'Input Value'!$C$21)</f>
        <v>16984.665</v>
      </c>
      <c r="F11" s="120">
        <f>E11*(1+'Input Value'!$C$21)</f>
        <v>17154.51165</v>
      </c>
      <c r="G11" s="120">
        <f>F11*(1+'Input Value'!$C$21)</f>
        <v>17326.0567665</v>
      </c>
      <c r="H11" s="120">
        <f>G11*(1+'Input Value'!$C$21)</f>
        <v>17499.317334165004</v>
      </c>
      <c r="I11" s="120">
        <f>H11*(1+'Input Value'!$C$21)</f>
        <v>17674.310507506652</v>
      </c>
      <c r="J11" s="120">
        <f>I11*(1+'Input Value'!$C$21)</f>
        <v>17851.05361258172</v>
      </c>
      <c r="K11" s="120">
        <f>J11*(1+'Input Value'!$C$21)</f>
        <v>18029.564148707537</v>
      </c>
      <c r="L11" s="120">
        <f>K11*(1+'Input Value'!$C$21)</f>
        <v>18209.859790194612</v>
      </c>
      <c r="M11" s="120">
        <f>L11*(1+'Input Value'!$C$21)</f>
        <v>18391.95838809656</v>
      </c>
    </row>
    <row r="12" ht="12.75">
      <c r="M12" s="39"/>
    </row>
    <row r="13" spans="2:13" ht="12.75">
      <c r="B13" s="119" t="s">
        <v>37</v>
      </c>
      <c r="C13" s="147">
        <f aca="true" t="shared" si="0" ref="C13:L13">SUM(C9,C10,C11)</f>
        <v>449550</v>
      </c>
      <c r="D13" s="147">
        <f t="shared" si="0"/>
        <v>454045.5</v>
      </c>
      <c r="E13" s="147">
        <f t="shared" si="0"/>
        <v>458585.955</v>
      </c>
      <c r="F13" s="147">
        <f t="shared" si="0"/>
        <v>463171.81455</v>
      </c>
      <c r="G13" s="147">
        <f t="shared" si="0"/>
        <v>467803.53269550006</v>
      </c>
      <c r="H13" s="147">
        <f t="shared" si="0"/>
        <v>472481.56802245503</v>
      </c>
      <c r="I13" s="147">
        <f t="shared" si="0"/>
        <v>477206.38370267965</v>
      </c>
      <c r="J13" s="147">
        <f t="shared" si="0"/>
        <v>481978.4475397064</v>
      </c>
      <c r="K13" s="147">
        <f t="shared" si="0"/>
        <v>486798.2320151035</v>
      </c>
      <c r="L13" s="147">
        <f t="shared" si="0"/>
        <v>491666.2143352545</v>
      </c>
      <c r="M13" s="147">
        <f>SUM(M9,M10,M11)</f>
        <v>496582.87647860707</v>
      </c>
    </row>
    <row r="14" ht="12.75">
      <c r="M14" s="39"/>
    </row>
    <row r="15" spans="2:13" ht="12.75">
      <c r="B15" s="119" t="s">
        <v>116</v>
      </c>
      <c r="C15" s="120"/>
      <c r="D15" s="120">
        <f>+'Market Projection'!D29</f>
        <v>799591.8222222222</v>
      </c>
      <c r="E15" s="120">
        <f>+'Market Projection'!E29</f>
        <v>807587.7404444445</v>
      </c>
      <c r="F15" s="120">
        <f>+'Market Projection'!F29</f>
        <v>815663.6178488889</v>
      </c>
      <c r="G15" s="120">
        <f>+'Market Projection'!G29</f>
        <v>823820.2540273777</v>
      </c>
      <c r="H15" s="120">
        <f>+'Market Projection'!H29</f>
        <v>832058.4565676516</v>
      </c>
      <c r="I15" s="120">
        <f>+'Market Projection'!I29</f>
        <v>840379.0411333281</v>
      </c>
      <c r="J15" s="120">
        <f>+'Market Projection'!J29</f>
        <v>848782.8315446613</v>
      </c>
      <c r="K15" s="120">
        <f>+'Market Projection'!K29</f>
        <v>857270.6598601079</v>
      </c>
      <c r="L15" s="120">
        <f>+'Market Projection'!L29</f>
        <v>865843.366458709</v>
      </c>
      <c r="M15" s="120">
        <f>+'Market Projection'!M29</f>
        <v>874501.8001232962</v>
      </c>
    </row>
    <row r="16" spans="3:13" ht="12.75"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2:13" ht="12.75">
      <c r="B17" s="119" t="s">
        <v>39</v>
      </c>
      <c r="C17" s="120"/>
      <c r="D17" s="45">
        <f>'Input Value'!C37</f>
        <v>146424</v>
      </c>
      <c r="E17" s="120">
        <f>D17*(1+'Input Value'!$I$7)</f>
        <v>147888.24</v>
      </c>
      <c r="F17" s="120">
        <f>E17*(1+'Input Value'!$I$7)</f>
        <v>149367.1224</v>
      </c>
      <c r="G17" s="120">
        <f>F17*(1+'Input Value'!$I$7)</f>
        <v>150860.79362399998</v>
      </c>
      <c r="H17" s="120">
        <f>G17*(1+'Input Value'!$I$7)</f>
        <v>152369.40156024</v>
      </c>
      <c r="I17" s="120">
        <f>H17*(1+'Input Value'!$I$7)</f>
        <v>153893.0955758424</v>
      </c>
      <c r="J17" s="120">
        <f>I17*(1+'Input Value'!$I$7)</f>
        <v>155432.02653160083</v>
      </c>
      <c r="K17" s="120">
        <f>J17*(1+'Input Value'!$I$7)</f>
        <v>156986.34679691683</v>
      </c>
      <c r="L17" s="120">
        <f>K17*(1+'Input Value'!$I$7)</f>
        <v>158556.210264886</v>
      </c>
      <c r="M17" s="120">
        <f>L17*(1+'Input Value'!$I$7)</f>
        <v>160141.77236753487</v>
      </c>
    </row>
    <row r="18" spans="2:13" ht="12.75">
      <c r="B18" s="145" t="s">
        <v>169</v>
      </c>
      <c r="C18" s="120"/>
      <c r="D18" s="45">
        <f>'Input Value'!C29</f>
        <v>101157.6</v>
      </c>
      <c r="E18" s="120">
        <f>D18*(1+'Input Value'!$I$7)</f>
        <v>102169.176</v>
      </c>
      <c r="F18" s="120">
        <f>E18*(1+'Input Value'!$I$7)</f>
        <v>103190.86776000001</v>
      </c>
      <c r="G18" s="120">
        <f>F18*(1+'Input Value'!$I$7)</f>
        <v>104222.77643760001</v>
      </c>
      <c r="H18" s="120">
        <f>G18*(1+'Input Value'!$I$7)</f>
        <v>105265.00420197601</v>
      </c>
      <c r="I18" s="120">
        <f>H18*(1+'Input Value'!$I$7)</f>
        <v>106317.65424399577</v>
      </c>
      <c r="J18" s="120">
        <f>I18*(1+'Input Value'!$I$7)</f>
        <v>107380.83078643573</v>
      </c>
      <c r="K18" s="120">
        <f>J18*(1+'Input Value'!$I$7)</f>
        <v>108454.63909430009</v>
      </c>
      <c r="L18" s="120">
        <f>K18*(1+'Input Value'!$I$7)</f>
        <v>109539.18548524308</v>
      </c>
      <c r="M18" s="120">
        <f>L18*(1+'Input Value'!$I$7)</f>
        <v>110634.57734009552</v>
      </c>
    </row>
    <row r="19" spans="2:13" ht="12.75">
      <c r="B19" s="145" t="s">
        <v>170</v>
      </c>
      <c r="C19" s="120"/>
      <c r="D19" s="45">
        <f>'Input Value'!C33</f>
        <v>39866.39999999998</v>
      </c>
      <c r="E19" s="120">
        <f>D19*(1+'Input Value'!$I$7)</f>
        <v>40265.06399999998</v>
      </c>
      <c r="F19" s="120">
        <f>E19*(1+'Input Value'!$I$7)</f>
        <v>40667.71463999998</v>
      </c>
      <c r="G19" s="120">
        <f>F19*(1+'Input Value'!$I$7)</f>
        <v>41074.391786399974</v>
      </c>
      <c r="H19" s="120">
        <f>G19*(1+'Input Value'!$I$7)</f>
        <v>41485.13570426397</v>
      </c>
      <c r="I19" s="120">
        <f>H19*(1+'Input Value'!$I$7)</f>
        <v>41899.98706130661</v>
      </c>
      <c r="J19" s="120">
        <f>I19*(1+'Input Value'!$I$7)</f>
        <v>42318.98693191967</v>
      </c>
      <c r="K19" s="120">
        <f>J19*(1+'Input Value'!$I$7)</f>
        <v>42742.17680123887</v>
      </c>
      <c r="L19" s="120">
        <f>K19*(1+'Input Value'!$I$7)</f>
        <v>43169.59856925126</v>
      </c>
      <c r="M19" s="120">
        <f>L19*(1+'Input Value'!$I$7)</f>
        <v>43601.29455494377</v>
      </c>
    </row>
    <row r="20" spans="2:13" ht="12.75">
      <c r="B20" s="49" t="s">
        <v>153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3:13" ht="12.75"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2:13" ht="12.75">
      <c r="B22" s="119" t="s">
        <v>40</v>
      </c>
      <c r="C22" s="147"/>
      <c r="D22" s="147">
        <f>+D13+D15+D17</f>
        <v>1400061.322222222</v>
      </c>
      <c r="E22" s="147">
        <f aca="true" t="shared" si="1" ref="E22:L22">+E13+E15+E17</f>
        <v>1414061.9354444444</v>
      </c>
      <c r="F22" s="147">
        <f t="shared" si="1"/>
        <v>1428202.5547988887</v>
      </c>
      <c r="G22" s="147">
        <f t="shared" si="1"/>
        <v>1442484.5803468777</v>
      </c>
      <c r="H22" s="147">
        <f t="shared" si="1"/>
        <v>1456909.4261503466</v>
      </c>
      <c r="I22" s="147">
        <f t="shared" si="1"/>
        <v>1471478.5204118502</v>
      </c>
      <c r="J22" s="147">
        <f t="shared" si="1"/>
        <v>1486193.3056159685</v>
      </c>
      <c r="K22" s="147">
        <f t="shared" si="1"/>
        <v>1501055.2386721282</v>
      </c>
      <c r="L22" s="147">
        <f t="shared" si="1"/>
        <v>1516065.7910588495</v>
      </c>
      <c r="M22" s="147">
        <f>+M13+M15+M17</f>
        <v>1531226.4489694382</v>
      </c>
    </row>
    <row r="23" spans="3:13" ht="12.75"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2:13" ht="12.75">
      <c r="B24" s="121" t="s">
        <v>41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2:13" ht="12.75">
      <c r="B25" s="119" t="s">
        <v>42</v>
      </c>
      <c r="C25" s="120"/>
      <c r="D25" s="151">
        <f>+'Input Value'!F28*Depreciation!D33</f>
        <v>127000</v>
      </c>
      <c r="E25" s="120">
        <f>D25*(1+'Input Value'!$F$27)</f>
        <v>128270</v>
      </c>
      <c r="F25" s="120">
        <f>E25*(1+'Input Value'!$F$27)</f>
        <v>129552.7</v>
      </c>
      <c r="G25" s="120">
        <f>F25*(1+'Input Value'!$F$27)</f>
        <v>130848.227</v>
      </c>
      <c r="H25" s="120">
        <f>G25*(1+'Input Value'!$F$27)</f>
        <v>132156.70927</v>
      </c>
      <c r="I25" s="120">
        <f>H25*(1+'Input Value'!$F$27)</f>
        <v>133478.27636269998</v>
      </c>
      <c r="J25" s="120">
        <f>I25*(1+'Input Value'!$F$27)</f>
        <v>134813.059126327</v>
      </c>
      <c r="K25" s="120">
        <f>J25*(1+'Input Value'!$F$27)</f>
        <v>136161.18971759026</v>
      </c>
      <c r="L25" s="120">
        <f>K25*(1+'Input Value'!$F$27)</f>
        <v>137522.80161476615</v>
      </c>
      <c r="M25" s="120">
        <f>L25*(1+'Input Value'!$F$27)</f>
        <v>138898.0296309138</v>
      </c>
    </row>
    <row r="26" spans="3:13" ht="12.75"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2:13" ht="12.75">
      <c r="B27" s="119" t="s">
        <v>44</v>
      </c>
      <c r="C27" s="120"/>
      <c r="D27" s="151">
        <f>+'Input Value'!F29*Depreciation!D33</f>
        <v>12700</v>
      </c>
      <c r="E27" s="120">
        <f>D27*(1+'Input Value'!$F$27)</f>
        <v>12827</v>
      </c>
      <c r="F27" s="120">
        <f>E27*(1+'Input Value'!$F$27)</f>
        <v>12955.27</v>
      </c>
      <c r="G27" s="120">
        <f>F27*(1+'Input Value'!$F$27)</f>
        <v>13084.8227</v>
      </c>
      <c r="H27" s="120">
        <f>G27*(1+'Input Value'!$F$27)</f>
        <v>13215.670927000001</v>
      </c>
      <c r="I27" s="120">
        <f>H27*(1+'Input Value'!$F$27)</f>
        <v>13347.827636270002</v>
      </c>
      <c r="J27" s="120">
        <f>I27*(1+'Input Value'!$F$27)</f>
        <v>13481.305912632703</v>
      </c>
      <c r="K27" s="120">
        <f>J27*(1+'Input Value'!$F$27)</f>
        <v>13616.11897175903</v>
      </c>
      <c r="L27" s="120">
        <f>K27*(1+'Input Value'!$F$27)</f>
        <v>13752.28016147662</v>
      </c>
      <c r="M27" s="120">
        <f>L27*(1+'Input Value'!$F$27)</f>
        <v>13889.802963091386</v>
      </c>
    </row>
    <row r="28" spans="3:13" ht="12.75"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2:13" ht="12.75">
      <c r="B29" s="119" t="s">
        <v>43</v>
      </c>
      <c r="C29" s="120"/>
      <c r="D29" s="151">
        <f>'Input Value'!F29*Depreciation!D35</f>
        <v>13700</v>
      </c>
      <c r="E29" s="120">
        <f>D29*(1+'Input Value'!$F$27)</f>
        <v>13837</v>
      </c>
      <c r="F29" s="120">
        <f>E29*(1+'Input Value'!$F$27)</f>
        <v>13975.37</v>
      </c>
      <c r="G29" s="120">
        <f>F29*(1+'Input Value'!$F$27)</f>
        <v>14115.1237</v>
      </c>
      <c r="H29" s="120">
        <f>G29*(1+'Input Value'!$F$27)</f>
        <v>14256.274937</v>
      </c>
      <c r="I29" s="120">
        <f>H29*(1+'Input Value'!$F$27)</f>
        <v>14398.83768637</v>
      </c>
      <c r="J29" s="120">
        <f>I29*(1+'Input Value'!$F$27)</f>
        <v>14542.8260632337</v>
      </c>
      <c r="K29" s="120">
        <f>J29*(1+'Input Value'!$F$27)</f>
        <v>14688.254323866038</v>
      </c>
      <c r="L29" s="120">
        <f>K29*(1+'Input Value'!$F$27)</f>
        <v>14835.136867104698</v>
      </c>
      <c r="M29" s="120">
        <f>L29*(1+'Input Value'!$F$27)</f>
        <v>14983.488235775745</v>
      </c>
    </row>
    <row r="30" spans="3:13" ht="12.75"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2:13" ht="12.75">
      <c r="B31" s="119" t="s">
        <v>50</v>
      </c>
      <c r="C31" s="120"/>
      <c r="D31" s="120">
        <f>Depreciation!C45</f>
        <v>135038.908974359</v>
      </c>
      <c r="E31" s="120">
        <f>Depreciation!D45</f>
        <v>224327.908974359</v>
      </c>
      <c r="F31" s="120">
        <f>Depreciation!E45</f>
        <v>161658.90897435896</v>
      </c>
      <c r="G31" s="120">
        <f>Depreciation!F45</f>
        <v>117341.50897435898</v>
      </c>
      <c r="H31" s="120">
        <f>Depreciation!G45</f>
        <v>85614.55897435897</v>
      </c>
      <c r="I31" s="120">
        <f>Depreciation!H45</f>
        <v>85698.50897435898</v>
      </c>
      <c r="J31" s="120">
        <f>Depreciation!I45</f>
        <v>46416.05897435897</v>
      </c>
      <c r="K31" s="120">
        <f>Depreciation!J45</f>
        <v>46416.05897435897</v>
      </c>
      <c r="L31" s="120">
        <f>Depreciation!K45</f>
        <v>8974.358974358975</v>
      </c>
      <c r="M31" s="120">
        <f>Depreciation!L45</f>
        <v>8974.358974358975</v>
      </c>
    </row>
    <row r="32" spans="3:13" ht="12.75"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2:13" ht="12.75">
      <c r="B33" s="119" t="s">
        <v>21</v>
      </c>
      <c r="C33" s="120"/>
      <c r="D33" s="120">
        <f>+'Loan Amortization'!C31</f>
        <v>129191.32479999999</v>
      </c>
      <c r="E33" s="120">
        <f>+'Loan Amortization'!D31</f>
        <v>125559.83527848296</v>
      </c>
      <c r="F33" s="120">
        <f>+'Loan Amortization'!E31</f>
        <v>121655.98404285213</v>
      </c>
      <c r="G33" s="120">
        <f>+'Loan Amortization'!F31</f>
        <v>117459.34396454901</v>
      </c>
      <c r="H33" s="120">
        <f>+'Loan Amortization'!G31</f>
        <v>112947.95588037316</v>
      </c>
      <c r="I33" s="120">
        <f>+'Loan Amortization'!H31</f>
        <v>108098.21368988411</v>
      </c>
      <c r="J33" s="120">
        <f>+'Loan Amortization'!I31</f>
        <v>102884.74083510839</v>
      </c>
      <c r="K33" s="120">
        <f>+'Loan Amortization'!J31</f>
        <v>97280.25751622448</v>
      </c>
      <c r="L33" s="120">
        <f>+'Loan Amortization'!K31</f>
        <v>91255.43794842428</v>
      </c>
      <c r="M33" s="120">
        <f>+'Loan Amortization'!L31</f>
        <v>84778.75691303906</v>
      </c>
    </row>
    <row r="34" spans="3:13" ht="12.75"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2:13" ht="12.75">
      <c r="B35" s="119" t="s">
        <v>54</v>
      </c>
      <c r="C35" s="147"/>
      <c r="D35" s="147">
        <f aca="true" t="shared" si="2" ref="D35:L35">SUM(D25,D27,D29,D31,D33)</f>
        <v>417630.233774359</v>
      </c>
      <c r="E35" s="147">
        <f t="shared" si="2"/>
        <v>504821.7442528419</v>
      </c>
      <c r="F35" s="147">
        <f t="shared" si="2"/>
        <v>439798.2330172111</v>
      </c>
      <c r="G35" s="147">
        <f t="shared" si="2"/>
        <v>392849.026338908</v>
      </c>
      <c r="H35" s="147">
        <f t="shared" si="2"/>
        <v>358191.1699887321</v>
      </c>
      <c r="I35" s="147">
        <f t="shared" si="2"/>
        <v>355021.6643495831</v>
      </c>
      <c r="J35" s="147">
        <f t="shared" si="2"/>
        <v>312137.9909116607</v>
      </c>
      <c r="K35" s="147">
        <f t="shared" si="2"/>
        <v>308161.8795037988</v>
      </c>
      <c r="L35" s="147">
        <f t="shared" si="2"/>
        <v>266340.01556613075</v>
      </c>
      <c r="M35" s="147">
        <f>SUM(M25,M27,M29,M31,M33)</f>
        <v>261524.43671717896</v>
      </c>
    </row>
    <row r="36" spans="3:13" ht="12.75"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2:13" ht="12.75">
      <c r="B37" s="121" t="s">
        <v>51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2:21" ht="12.75">
      <c r="B38" s="119" t="s">
        <v>45</v>
      </c>
      <c r="C38" s="142"/>
      <c r="D38" s="25">
        <v>0</v>
      </c>
      <c r="E38" s="25">
        <v>0</v>
      </c>
      <c r="F38" s="142">
        <f>+E38*(1+'Input Value'!$F$27)</f>
        <v>0</v>
      </c>
      <c r="G38" s="142">
        <f>+F38*(1+'Input Value'!$F$27)</f>
        <v>0</v>
      </c>
      <c r="H38" s="142">
        <f>+G38*(1+'Input Value'!$F$27)</f>
        <v>0</v>
      </c>
      <c r="I38" s="142">
        <f>+H38*(1+'Input Value'!$F$27)</f>
        <v>0</v>
      </c>
      <c r="J38" s="142">
        <f>+I38*(1+'Input Value'!$F$27)</f>
        <v>0</v>
      </c>
      <c r="K38" s="142">
        <f>+J38*(1+'Input Value'!$F$27)</f>
        <v>0</v>
      </c>
      <c r="L38" s="142">
        <f>+K38*(1+'Input Value'!$F$27)</f>
        <v>0</v>
      </c>
      <c r="M38" s="142">
        <f>+L38*(1+'Input Value'!$F$27)</f>
        <v>0</v>
      </c>
      <c r="N38" s="79"/>
      <c r="O38" s="79"/>
      <c r="P38" s="79"/>
      <c r="Q38" s="79"/>
      <c r="R38" s="79"/>
      <c r="S38" s="79"/>
      <c r="T38" s="79"/>
      <c r="U38" s="79"/>
    </row>
    <row r="39" spans="3:21" ht="12.75">
      <c r="C39" s="142"/>
      <c r="D39" s="25" t="s">
        <v>153</v>
      </c>
      <c r="E39" s="25"/>
      <c r="F39" s="142"/>
      <c r="G39" s="142"/>
      <c r="H39" s="142"/>
      <c r="I39" s="142"/>
      <c r="J39" s="142"/>
      <c r="K39" s="142"/>
      <c r="L39" s="142"/>
      <c r="M39" s="142"/>
      <c r="N39" s="79"/>
      <c r="O39" s="79"/>
      <c r="P39" s="79"/>
      <c r="Q39" s="79"/>
      <c r="R39" s="79"/>
      <c r="S39" s="79"/>
      <c r="T39" s="79"/>
      <c r="U39" s="79"/>
    </row>
    <row r="40" spans="2:21" ht="12.75">
      <c r="B40" s="119" t="s">
        <v>52</v>
      </c>
      <c r="C40" s="142"/>
      <c r="D40" s="25">
        <v>0</v>
      </c>
      <c r="E40" s="25">
        <v>0</v>
      </c>
      <c r="F40" s="142">
        <f>+E40*(1+'Input Value'!$F$27)</f>
        <v>0</v>
      </c>
      <c r="G40" s="142">
        <f>+F40*(1+'Input Value'!$F$27)</f>
        <v>0</v>
      </c>
      <c r="H40" s="142">
        <f>+G40*(1+'Input Value'!$F$27)</f>
        <v>0</v>
      </c>
      <c r="I40" s="142">
        <f>+H40*(1+'Input Value'!$F$27)</f>
        <v>0</v>
      </c>
      <c r="J40" s="142">
        <f>+I40*(1+'Input Value'!$F$27)</f>
        <v>0</v>
      </c>
      <c r="K40" s="142">
        <f>+J40*(1+'Input Value'!$F$27)</f>
        <v>0</v>
      </c>
      <c r="L40" s="142">
        <f>+K40*(1+'Input Value'!$F$27)</f>
        <v>0</v>
      </c>
      <c r="M40" s="142">
        <f>+L40*(1+'Input Value'!$F$27)</f>
        <v>0</v>
      </c>
      <c r="N40" s="79"/>
      <c r="O40" s="79"/>
      <c r="P40" s="79"/>
      <c r="Q40" s="79"/>
      <c r="R40" s="79"/>
      <c r="S40" s="79"/>
      <c r="T40" s="79"/>
      <c r="U40" s="79"/>
    </row>
    <row r="41" spans="3:13" ht="12.75"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2:13" ht="12.75">
      <c r="B42" s="119" t="s">
        <v>53</v>
      </c>
      <c r="C42" s="147"/>
      <c r="D42" s="147">
        <f aca="true" t="shared" si="3" ref="D42:L42">SUM(D38,D40)</f>
        <v>0</v>
      </c>
      <c r="E42" s="147">
        <f t="shared" si="3"/>
        <v>0</v>
      </c>
      <c r="F42" s="147">
        <f t="shared" si="3"/>
        <v>0</v>
      </c>
      <c r="G42" s="147">
        <f t="shared" si="3"/>
        <v>0</v>
      </c>
      <c r="H42" s="147">
        <f t="shared" si="3"/>
        <v>0</v>
      </c>
      <c r="I42" s="147">
        <f t="shared" si="3"/>
        <v>0</v>
      </c>
      <c r="J42" s="147">
        <f t="shared" si="3"/>
        <v>0</v>
      </c>
      <c r="K42" s="147">
        <f t="shared" si="3"/>
        <v>0</v>
      </c>
      <c r="L42" s="147">
        <f t="shared" si="3"/>
        <v>0</v>
      </c>
      <c r="M42" s="147">
        <f>SUM(M38,M40)</f>
        <v>0</v>
      </c>
    </row>
    <row r="43" spans="3:13" ht="12.75"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2:13" ht="12.75">
      <c r="B44" s="119" t="s">
        <v>55</v>
      </c>
      <c r="C44" s="147"/>
      <c r="D44" s="147">
        <f aca="true" t="shared" si="4" ref="D44:L44">SUM(D22,D35,D42)</f>
        <v>1817691.555996581</v>
      </c>
      <c r="E44" s="147">
        <f t="shared" si="4"/>
        <v>1918883.6796972863</v>
      </c>
      <c r="F44" s="147">
        <f t="shared" si="4"/>
        <v>1868000.7878160998</v>
      </c>
      <c r="G44" s="147">
        <f t="shared" si="4"/>
        <v>1835333.6066857856</v>
      </c>
      <c r="H44" s="147">
        <f t="shared" si="4"/>
        <v>1815100.5961390787</v>
      </c>
      <c r="I44" s="147">
        <f t="shared" si="4"/>
        <v>1826500.1847614334</v>
      </c>
      <c r="J44" s="147">
        <f t="shared" si="4"/>
        <v>1798331.2965276293</v>
      </c>
      <c r="K44" s="147">
        <f t="shared" si="4"/>
        <v>1809217.118175927</v>
      </c>
      <c r="L44" s="147">
        <f t="shared" si="4"/>
        <v>1782405.8066249802</v>
      </c>
      <c r="M44" s="147">
        <f>SUM(M22,M35,M42)</f>
        <v>1792750.885686617</v>
      </c>
    </row>
    <row r="47" ht="12.75">
      <c r="M47" s="125">
        <f>'Input Value'!Y40</f>
        <v>0</v>
      </c>
    </row>
    <row r="48" ht="12.75">
      <c r="D48" s="120"/>
    </row>
    <row r="49" ht="12.75">
      <c r="M49" s="125">
        <f>'Input Value'!Y41</f>
        <v>0</v>
      </c>
    </row>
  </sheetData>
  <mergeCells count="3">
    <mergeCell ref="B2:C2"/>
    <mergeCell ref="B3:C3"/>
    <mergeCell ref="B4:C4"/>
  </mergeCells>
  <hyperlinks>
    <hyperlink ref="B3" location="'Input Value'!A1" display="BACK TO INPUTS"/>
    <hyperlink ref="B4" location="'Return On Investment'!A1" display="FORWARD TO RESULTS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34"/>
  <sheetViews>
    <sheetView showGridLines="0" showRowColHeaders="0" workbookViewId="0" topLeftCell="A4">
      <selection activeCell="D17" sqref="D17"/>
    </sheetView>
  </sheetViews>
  <sheetFormatPr defaultColWidth="9.140625" defaultRowHeight="12.75"/>
  <cols>
    <col min="1" max="1" width="1.7109375" style="0" customWidth="1"/>
    <col min="2" max="2" width="16.28125" style="0" customWidth="1"/>
    <col min="3" max="3" width="6.7109375" style="0" bestFit="1" customWidth="1"/>
    <col min="4" max="13" width="10.7109375" style="0" bestFit="1" customWidth="1"/>
    <col min="14" max="14" width="9.7109375" style="0" bestFit="1" customWidth="1"/>
  </cols>
  <sheetData>
    <row r="1" ht="8.25" customHeight="1" thickBot="1"/>
    <row r="2" spans="2:3" ht="13.5" thickBot="1">
      <c r="B2" s="247" t="s">
        <v>253</v>
      </c>
      <c r="C2" s="254"/>
    </row>
    <row r="3" spans="2:3" ht="13.5" thickBot="1">
      <c r="B3" s="255" t="s">
        <v>252</v>
      </c>
      <c r="C3" s="256"/>
    </row>
    <row r="4" spans="2:3" ht="13.5" thickBot="1">
      <c r="B4" s="249" t="s">
        <v>247</v>
      </c>
      <c r="C4" s="254"/>
    </row>
    <row r="5" s="19" customFormat="1" ht="12.75">
      <c r="B5" s="69"/>
    </row>
    <row r="6" ht="12.75">
      <c r="B6" s="1" t="s">
        <v>126</v>
      </c>
    </row>
    <row r="8" spans="2:13" ht="12.75">
      <c r="B8" s="225" t="s">
        <v>147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9" spans="2:13" ht="12.75">
      <c r="B9" s="226"/>
      <c r="C9" s="225" t="s">
        <v>12</v>
      </c>
      <c r="D9" s="227" t="s">
        <v>0</v>
      </c>
      <c r="E9" s="227" t="s">
        <v>1</v>
      </c>
      <c r="F9" s="227" t="s">
        <v>2</v>
      </c>
      <c r="G9" s="227" t="s">
        <v>3</v>
      </c>
      <c r="H9" s="227" t="s">
        <v>4</v>
      </c>
      <c r="I9" s="227" t="s">
        <v>5</v>
      </c>
      <c r="J9" s="227" t="s">
        <v>6</v>
      </c>
      <c r="K9" s="227" t="s">
        <v>7</v>
      </c>
      <c r="L9" s="227" t="s">
        <v>8</v>
      </c>
      <c r="M9" s="227" t="s">
        <v>9</v>
      </c>
    </row>
    <row r="10" spans="2:13" ht="12.75">
      <c r="B10" s="228" t="str">
        <f>'Input Value'!I4</f>
        <v>Pellets</v>
      </c>
      <c r="C10" s="229">
        <f>'Market Projection'!C17</f>
        <v>0</v>
      </c>
      <c r="D10" s="229">
        <f>'Market Projection'!D17</f>
        <v>1898400</v>
      </c>
      <c r="E10" s="229">
        <f>'Market Projection'!E17</f>
        <v>1917384</v>
      </c>
      <c r="F10" s="229">
        <f>'Market Projection'!F17</f>
        <v>1936557.8399999999</v>
      </c>
      <c r="G10" s="229">
        <f>'Market Projection'!G17</f>
        <v>1955923.4183999998</v>
      </c>
      <c r="H10" s="229">
        <f>'Market Projection'!H17</f>
        <v>1975482.652584</v>
      </c>
      <c r="I10" s="229">
        <f>'Market Projection'!I17</f>
        <v>1995237.47910984</v>
      </c>
      <c r="J10" s="229">
        <f>'Market Projection'!J17</f>
        <v>2015189.8539009383</v>
      </c>
      <c r="K10" s="229">
        <f>'Market Projection'!K17</f>
        <v>2035341.7524399478</v>
      </c>
      <c r="L10" s="229">
        <f>'Market Projection'!L17</f>
        <v>2055695.1699643473</v>
      </c>
      <c r="M10" s="229">
        <f>'Market Projection'!M17</f>
        <v>2076252.121663991</v>
      </c>
    </row>
    <row r="11" spans="2:13" ht="12.75">
      <c r="B11" s="228" t="str">
        <f>'Input Value'!K4</f>
        <v>Meal</v>
      </c>
      <c r="C11" s="229">
        <f>'Market Projection'!C22</f>
        <v>0</v>
      </c>
      <c r="D11" s="229">
        <f>'Market Projection'!D22</f>
        <v>0</v>
      </c>
      <c r="E11" s="229">
        <f>'Market Projection'!E22</f>
        <v>0</v>
      </c>
      <c r="F11" s="229">
        <f>'Market Projection'!F22</f>
        <v>0</v>
      </c>
      <c r="G11" s="229">
        <f>'Market Projection'!G22</f>
        <v>0</v>
      </c>
      <c r="H11" s="229">
        <f>'Market Projection'!H22</f>
        <v>0</v>
      </c>
      <c r="I11" s="229">
        <f>'Market Projection'!I22</f>
        <v>0</v>
      </c>
      <c r="J11" s="229">
        <f>'Market Projection'!J22</f>
        <v>0</v>
      </c>
      <c r="K11" s="229">
        <f>'Market Projection'!K22</f>
        <v>0</v>
      </c>
      <c r="L11" s="229">
        <f>'Market Projection'!L22</f>
        <v>0</v>
      </c>
      <c r="M11" s="229">
        <f>'Market Projection'!M22</f>
        <v>0</v>
      </c>
    </row>
    <row r="12" spans="2:13" ht="12.75"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</row>
    <row r="13" spans="2:13" ht="12.75">
      <c r="B13" s="228" t="s">
        <v>56</v>
      </c>
      <c r="C13" s="230">
        <f aca="true" t="shared" si="0" ref="C13:M13">SUM(C10:C11)</f>
        <v>0</v>
      </c>
      <c r="D13" s="230">
        <f t="shared" si="0"/>
        <v>1898400</v>
      </c>
      <c r="E13" s="230">
        <f t="shared" si="0"/>
        <v>1917384</v>
      </c>
      <c r="F13" s="230">
        <f t="shared" si="0"/>
        <v>1936557.8399999999</v>
      </c>
      <c r="G13" s="230">
        <f t="shared" si="0"/>
        <v>1955923.4183999998</v>
      </c>
      <c r="H13" s="230">
        <f t="shared" si="0"/>
        <v>1975482.652584</v>
      </c>
      <c r="I13" s="230">
        <f t="shared" si="0"/>
        <v>1995237.47910984</v>
      </c>
      <c r="J13" s="230">
        <f t="shared" si="0"/>
        <v>2015189.8539009383</v>
      </c>
      <c r="K13" s="230">
        <f t="shared" si="0"/>
        <v>2035341.7524399478</v>
      </c>
      <c r="L13" s="230">
        <f t="shared" si="0"/>
        <v>2055695.1699643473</v>
      </c>
      <c r="M13" s="230">
        <f t="shared" si="0"/>
        <v>2076252.121663991</v>
      </c>
    </row>
    <row r="14" spans="2:13" ht="12.75"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</row>
    <row r="15" spans="2:13" ht="12.75">
      <c r="B15" s="225" t="s">
        <v>57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</row>
    <row r="16" spans="2:13" ht="12.75">
      <c r="B16" s="228" t="s">
        <v>38</v>
      </c>
      <c r="C16" s="229">
        <f>'Expense Projection'!C22</f>
        <v>0</v>
      </c>
      <c r="D16" s="229">
        <f>'Expense Projection'!D22</f>
        <v>1400061.322222222</v>
      </c>
      <c r="E16" s="229">
        <f>'Expense Projection'!E22</f>
        <v>1414061.9354444444</v>
      </c>
      <c r="F16" s="229">
        <f>'Expense Projection'!F22</f>
        <v>1428202.5547988887</v>
      </c>
      <c r="G16" s="229">
        <f>'Expense Projection'!G22</f>
        <v>1442484.5803468777</v>
      </c>
      <c r="H16" s="229">
        <f>'Expense Projection'!H22</f>
        <v>1456909.4261503466</v>
      </c>
      <c r="I16" s="229">
        <f>'Expense Projection'!I22</f>
        <v>1471478.5204118502</v>
      </c>
      <c r="J16" s="229">
        <f>'Expense Projection'!J22</f>
        <v>1486193.3056159685</v>
      </c>
      <c r="K16" s="229">
        <f>'Expense Projection'!K22</f>
        <v>1501055.2386721282</v>
      </c>
      <c r="L16" s="229">
        <f>'Expense Projection'!L22</f>
        <v>1516065.7910588495</v>
      </c>
      <c r="M16" s="229">
        <f>'Expense Projection'!M22</f>
        <v>1531226.4489694382</v>
      </c>
    </row>
    <row r="17" spans="2:13" ht="12.75">
      <c r="B17" s="228" t="s">
        <v>41</v>
      </c>
      <c r="C17" s="229">
        <f>'Expense Projection'!C35</f>
        <v>0</v>
      </c>
      <c r="D17" s="229">
        <f>'Expense Projection'!D35</f>
        <v>417630.233774359</v>
      </c>
      <c r="E17" s="229">
        <f>'Expense Projection'!E35</f>
        <v>504821.7442528419</v>
      </c>
      <c r="F17" s="229">
        <f>'Expense Projection'!F35</f>
        <v>439798.2330172111</v>
      </c>
      <c r="G17" s="229">
        <f>'Expense Projection'!G35</f>
        <v>392849.026338908</v>
      </c>
      <c r="H17" s="229">
        <f>'Expense Projection'!H35</f>
        <v>358191.1699887321</v>
      </c>
      <c r="I17" s="229">
        <f>'Expense Projection'!I35</f>
        <v>355021.6643495831</v>
      </c>
      <c r="J17" s="229">
        <f>'Expense Projection'!J35</f>
        <v>312137.9909116607</v>
      </c>
      <c r="K17" s="229">
        <f>'Expense Projection'!K35</f>
        <v>308161.8795037988</v>
      </c>
      <c r="L17" s="229">
        <f>'Expense Projection'!L35</f>
        <v>266340.01556613075</v>
      </c>
      <c r="M17" s="229">
        <f>'Expense Projection'!M35</f>
        <v>261524.43671717896</v>
      </c>
    </row>
    <row r="18" spans="2:13" ht="12.75">
      <c r="B18" s="228" t="s">
        <v>51</v>
      </c>
      <c r="C18" s="229">
        <f>'Expense Projection'!C42</f>
        <v>0</v>
      </c>
      <c r="D18" s="229">
        <f>'Expense Projection'!D42</f>
        <v>0</v>
      </c>
      <c r="E18" s="229">
        <f>'Expense Projection'!E42</f>
        <v>0</v>
      </c>
      <c r="F18" s="229">
        <f>'Expense Projection'!F42</f>
        <v>0</v>
      </c>
      <c r="G18" s="229">
        <f>'Expense Projection'!G42</f>
        <v>0</v>
      </c>
      <c r="H18" s="229">
        <f>'Expense Projection'!H42</f>
        <v>0</v>
      </c>
      <c r="I18" s="229">
        <f>'Expense Projection'!I42</f>
        <v>0</v>
      </c>
      <c r="J18" s="229">
        <f>'Expense Projection'!J42</f>
        <v>0</v>
      </c>
      <c r="K18" s="229">
        <f>'Expense Projection'!K42</f>
        <v>0</v>
      </c>
      <c r="L18" s="229">
        <f>'Expense Projection'!L42</f>
        <v>0</v>
      </c>
      <c r="M18" s="229">
        <f>'Expense Projection'!M42</f>
        <v>0</v>
      </c>
    </row>
    <row r="19" spans="2:13" ht="12.75">
      <c r="B19" s="228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</row>
    <row r="20" spans="2:13" ht="12.75">
      <c r="B20" s="228" t="s">
        <v>55</v>
      </c>
      <c r="C20" s="230">
        <f>SUM(C16:C18)</f>
        <v>0</v>
      </c>
      <c r="D20" s="230">
        <f aca="true" t="shared" si="1" ref="D20:L20">SUM(D16:D18)</f>
        <v>1817691.555996581</v>
      </c>
      <c r="E20" s="230">
        <f t="shared" si="1"/>
        <v>1918883.6796972863</v>
      </c>
      <c r="F20" s="230">
        <f t="shared" si="1"/>
        <v>1868000.7878160998</v>
      </c>
      <c r="G20" s="230">
        <f t="shared" si="1"/>
        <v>1835333.6066857856</v>
      </c>
      <c r="H20" s="230">
        <f t="shared" si="1"/>
        <v>1815100.5961390787</v>
      </c>
      <c r="I20" s="230">
        <f t="shared" si="1"/>
        <v>1826500.1847614334</v>
      </c>
      <c r="J20" s="230">
        <f t="shared" si="1"/>
        <v>1798331.2965276293</v>
      </c>
      <c r="K20" s="230">
        <f t="shared" si="1"/>
        <v>1809217.118175927</v>
      </c>
      <c r="L20" s="230">
        <f t="shared" si="1"/>
        <v>1782405.8066249802</v>
      </c>
      <c r="M20" s="230">
        <f>SUM(M16:M18)</f>
        <v>1792750.885686617</v>
      </c>
    </row>
    <row r="21" spans="2:13" ht="12.75">
      <c r="B21" s="228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</row>
    <row r="22" spans="2:13" ht="12.75">
      <c r="B22" s="228" t="s">
        <v>127</v>
      </c>
      <c r="C22" s="229">
        <f aca="true" t="shared" si="2" ref="C22:M22">+C13-C20</f>
        <v>0</v>
      </c>
      <c r="D22" s="229">
        <f t="shared" si="2"/>
        <v>80708.44400341902</v>
      </c>
      <c r="E22" s="229">
        <f t="shared" si="2"/>
        <v>-1499.6796972863376</v>
      </c>
      <c r="F22" s="229">
        <f t="shared" si="2"/>
        <v>68557.05218390003</v>
      </c>
      <c r="G22" s="229">
        <f t="shared" si="2"/>
        <v>120589.81171421427</v>
      </c>
      <c r="H22" s="229">
        <f t="shared" si="2"/>
        <v>160382.0564449213</v>
      </c>
      <c r="I22" s="229">
        <f t="shared" si="2"/>
        <v>168737.2943484066</v>
      </c>
      <c r="J22" s="229">
        <f t="shared" si="2"/>
        <v>216858.55737330904</v>
      </c>
      <c r="K22" s="229">
        <f t="shared" si="2"/>
        <v>226124.63426402071</v>
      </c>
      <c r="L22" s="229">
        <f t="shared" si="2"/>
        <v>273289.3633393671</v>
      </c>
      <c r="M22" s="229">
        <f t="shared" si="2"/>
        <v>283501.2359773738</v>
      </c>
    </row>
    <row r="23" spans="2:13" ht="12.75"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</row>
    <row r="24" spans="2:13" ht="12.75">
      <c r="B24" s="228" t="s">
        <v>128</v>
      </c>
      <c r="C24" s="231">
        <f>'Input Value'!$C$14*C22</f>
        <v>0</v>
      </c>
      <c r="D24" s="232">
        <f>'Input Value'!$C$14*D22</f>
        <v>48425.06640205141</v>
      </c>
      <c r="E24" s="232">
        <f>'Input Value'!$C$14*E22</f>
        <v>-899.8078183718026</v>
      </c>
      <c r="F24" s="232">
        <f>'Input Value'!$C$14*F22</f>
        <v>41134.231310340016</v>
      </c>
      <c r="G24" s="232">
        <f>'Input Value'!$C$14*G22</f>
        <v>72353.88702852857</v>
      </c>
      <c r="H24" s="232">
        <f>'Input Value'!$C$14*H22</f>
        <v>96229.23386695278</v>
      </c>
      <c r="I24" s="232">
        <f>'Input Value'!$C$14*I22</f>
        <v>101242.37660904396</v>
      </c>
      <c r="J24" s="232">
        <f>'Input Value'!$C$14*J22</f>
        <v>130115.13442398542</v>
      </c>
      <c r="K24" s="232">
        <f>'Input Value'!$C$14*K22</f>
        <v>135674.78055841243</v>
      </c>
      <c r="L24" s="232">
        <f>'Input Value'!$C$14*L22</f>
        <v>163973.61800362024</v>
      </c>
      <c r="M24" s="232">
        <f>'Input Value'!$C$14*M22</f>
        <v>170100.74158642426</v>
      </c>
    </row>
    <row r="25" spans="2:13" ht="12.75">
      <c r="B25" s="228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</row>
    <row r="26" spans="2:13" ht="12.75">
      <c r="B26" s="228" t="s">
        <v>129</v>
      </c>
      <c r="C26" s="230">
        <f>+C22-C24</f>
        <v>0</v>
      </c>
      <c r="D26" s="230">
        <f aca="true" t="shared" si="3" ref="D26:M26">+D22-D24</f>
        <v>32283.37760136761</v>
      </c>
      <c r="E26" s="230">
        <f t="shared" si="3"/>
        <v>-599.871878914535</v>
      </c>
      <c r="F26" s="230">
        <f t="shared" si="3"/>
        <v>27422.820873560013</v>
      </c>
      <c r="G26" s="230">
        <f t="shared" si="3"/>
        <v>48235.924685685706</v>
      </c>
      <c r="H26" s="230">
        <f t="shared" si="3"/>
        <v>64152.822577968516</v>
      </c>
      <c r="I26" s="230">
        <f t="shared" si="3"/>
        <v>67494.91773936265</v>
      </c>
      <c r="J26" s="230">
        <f t="shared" si="3"/>
        <v>86743.42294932362</v>
      </c>
      <c r="K26" s="230">
        <f t="shared" si="3"/>
        <v>90449.85370560829</v>
      </c>
      <c r="L26" s="230">
        <f t="shared" si="3"/>
        <v>109315.74533574685</v>
      </c>
      <c r="M26" s="230">
        <f t="shared" si="3"/>
        <v>113400.49439094952</v>
      </c>
    </row>
    <row r="27" spans="2:13" ht="12.75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  <row r="28" spans="2:13" ht="12.75">
      <c r="B28" s="225" t="s">
        <v>229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</row>
    <row r="29" spans="2:13" ht="12.75">
      <c r="B29" s="233"/>
      <c r="C29" s="227" t="str">
        <f>C9</f>
        <v>Year 0</v>
      </c>
      <c r="D29" s="227" t="str">
        <f aca="true" t="shared" si="4" ref="D29:M29">D9</f>
        <v>Year 1</v>
      </c>
      <c r="E29" s="227" t="str">
        <f t="shared" si="4"/>
        <v>Year 2</v>
      </c>
      <c r="F29" s="227" t="str">
        <f t="shared" si="4"/>
        <v>Year 3</v>
      </c>
      <c r="G29" s="227" t="str">
        <f t="shared" si="4"/>
        <v>Year 4</v>
      </c>
      <c r="H29" s="227" t="str">
        <f t="shared" si="4"/>
        <v>Year 5</v>
      </c>
      <c r="I29" s="227" t="str">
        <f t="shared" si="4"/>
        <v>Year 6</v>
      </c>
      <c r="J29" s="227" t="str">
        <f t="shared" si="4"/>
        <v>Year 7</v>
      </c>
      <c r="K29" s="227" t="str">
        <f t="shared" si="4"/>
        <v>Year 8</v>
      </c>
      <c r="L29" s="227" t="str">
        <f t="shared" si="4"/>
        <v>Year 9</v>
      </c>
      <c r="M29" s="227" t="str">
        <f t="shared" si="4"/>
        <v>Year 10</v>
      </c>
    </row>
    <row r="30" spans="2:13" ht="12.75">
      <c r="B30" s="226" t="s">
        <v>163</v>
      </c>
      <c r="C30" s="232">
        <f>C26</f>
        <v>0</v>
      </c>
      <c r="D30" s="232">
        <f aca="true" t="shared" si="5" ref="D30:M30">D26</f>
        <v>32283.37760136761</v>
      </c>
      <c r="E30" s="232">
        <f t="shared" si="5"/>
        <v>-599.871878914535</v>
      </c>
      <c r="F30" s="232">
        <f t="shared" si="5"/>
        <v>27422.820873560013</v>
      </c>
      <c r="G30" s="232">
        <f t="shared" si="5"/>
        <v>48235.924685685706</v>
      </c>
      <c r="H30" s="232">
        <f t="shared" si="5"/>
        <v>64152.822577968516</v>
      </c>
      <c r="I30" s="232">
        <f t="shared" si="5"/>
        <v>67494.91773936265</v>
      </c>
      <c r="J30" s="232">
        <f t="shared" si="5"/>
        <v>86743.42294932362</v>
      </c>
      <c r="K30" s="232">
        <f t="shared" si="5"/>
        <v>90449.85370560829</v>
      </c>
      <c r="L30" s="232">
        <f t="shared" si="5"/>
        <v>109315.74533574685</v>
      </c>
      <c r="M30" s="232">
        <f t="shared" si="5"/>
        <v>113400.49439094952</v>
      </c>
    </row>
    <row r="31" spans="2:13" ht="12.75">
      <c r="B31" s="226" t="s">
        <v>50</v>
      </c>
      <c r="C31" s="232">
        <v>0</v>
      </c>
      <c r="D31" s="232">
        <f>Depreciation!C45</f>
        <v>135038.908974359</v>
      </c>
      <c r="E31" s="232">
        <f>Depreciation!D45</f>
        <v>224327.908974359</v>
      </c>
      <c r="F31" s="232">
        <f>Depreciation!E45</f>
        <v>161658.90897435896</v>
      </c>
      <c r="G31" s="232">
        <f>Depreciation!F45</f>
        <v>117341.50897435898</v>
      </c>
      <c r="H31" s="232">
        <f>Depreciation!G45</f>
        <v>85614.55897435897</v>
      </c>
      <c r="I31" s="232">
        <f>Depreciation!H45</f>
        <v>85698.50897435898</v>
      </c>
      <c r="J31" s="232">
        <f>Depreciation!I45</f>
        <v>46416.05897435897</v>
      </c>
      <c r="K31" s="232">
        <f>Depreciation!J45</f>
        <v>46416.05897435897</v>
      </c>
      <c r="L31" s="232">
        <f>Depreciation!K45</f>
        <v>8974.358974358975</v>
      </c>
      <c r="M31" s="232">
        <f>Depreciation!L45</f>
        <v>8974.358974358975</v>
      </c>
    </row>
    <row r="32" spans="2:13" ht="12.75">
      <c r="B32" s="226" t="s">
        <v>164</v>
      </c>
      <c r="C32" s="232">
        <v>0</v>
      </c>
      <c r="D32" s="232">
        <f>'Loan Amortization'!C22</f>
        <v>48419.8602868938</v>
      </c>
      <c r="E32" s="232">
        <f>'Loan Amortization'!D22</f>
        <v>52051.349808410836</v>
      </c>
      <c r="F32" s="232">
        <f>'Loan Amortization'!E22</f>
        <v>55955.201044041656</v>
      </c>
      <c r="G32" s="232">
        <f>'Loan Amortization'!F22</f>
        <v>60151.84112234478</v>
      </c>
      <c r="H32" s="232">
        <f>'Loan Amortization'!G22</f>
        <v>64663.229206520635</v>
      </c>
      <c r="I32" s="232">
        <f>'Loan Amortization'!H22</f>
        <v>69512.97139700968</v>
      </c>
      <c r="J32" s="232">
        <f>'Loan Amortization'!I22</f>
        <v>74726.4442517854</v>
      </c>
      <c r="K32" s="232">
        <f>'Loan Amortization'!J22</f>
        <v>80330.92757066932</v>
      </c>
      <c r="L32" s="232">
        <f>'Loan Amortization'!K22</f>
        <v>86355.74713846951</v>
      </c>
      <c r="M32" s="232">
        <f>'Loan Amortization'!L22</f>
        <v>92832.42817385473</v>
      </c>
    </row>
    <row r="33" spans="2:14" ht="12.75">
      <c r="B33" s="228" t="s">
        <v>165</v>
      </c>
      <c r="C33" s="234">
        <f>C30+C31-C32</f>
        <v>0</v>
      </c>
      <c r="D33" s="234">
        <f aca="true" t="shared" si="6" ref="D33:M33">D30+D31-D32</f>
        <v>118902.42628883278</v>
      </c>
      <c r="E33" s="234">
        <f t="shared" si="6"/>
        <v>171676.68728703362</v>
      </c>
      <c r="F33" s="234">
        <f t="shared" si="6"/>
        <v>133126.5288038773</v>
      </c>
      <c r="G33" s="234">
        <f t="shared" si="6"/>
        <v>105425.59253769991</v>
      </c>
      <c r="H33" s="234">
        <f t="shared" si="6"/>
        <v>85104.15234580686</v>
      </c>
      <c r="I33" s="234">
        <f t="shared" si="6"/>
        <v>83680.45531671194</v>
      </c>
      <c r="J33" s="234">
        <f t="shared" si="6"/>
        <v>58433.03767189718</v>
      </c>
      <c r="K33" s="234">
        <f t="shared" si="6"/>
        <v>56534.98510929795</v>
      </c>
      <c r="L33" s="234">
        <f t="shared" si="6"/>
        <v>31934.357171636308</v>
      </c>
      <c r="M33" s="234">
        <f t="shared" si="6"/>
        <v>29542.42519145376</v>
      </c>
      <c r="N33" s="22" t="s">
        <v>153</v>
      </c>
    </row>
    <row r="34" spans="2:13" ht="12.75">
      <c r="B34" s="226" t="s">
        <v>230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</sheetData>
  <sheetProtection sheet="1" objects="1" scenarios="1"/>
  <mergeCells count="3">
    <mergeCell ref="B2:C2"/>
    <mergeCell ref="B3:C3"/>
    <mergeCell ref="B4:C4"/>
  </mergeCells>
  <hyperlinks>
    <hyperlink ref="B3" location="'Input Value'!A1" display="BACK TO INPUTS"/>
    <hyperlink ref="B4" location="'Return On Investment'!A1" display="FORWARD TO RESULTS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20"/>
  <sheetViews>
    <sheetView showGridLines="0" showRowColHeaders="0" workbookViewId="0" topLeftCell="A1">
      <selection activeCell="G43" sqref="G43"/>
    </sheetView>
  </sheetViews>
  <sheetFormatPr defaultColWidth="9.140625" defaultRowHeight="12.75"/>
  <cols>
    <col min="1" max="1" width="2.00390625" style="39" customWidth="1"/>
    <col min="2" max="2" width="25.421875" style="39" customWidth="1"/>
    <col min="3" max="3" width="19.00390625" style="39" customWidth="1"/>
    <col min="4" max="4" width="14.00390625" style="39" bestFit="1" customWidth="1"/>
    <col min="5" max="5" width="11.28125" style="39" bestFit="1" customWidth="1"/>
    <col min="6" max="6" width="16.140625" style="39" customWidth="1"/>
    <col min="7" max="7" width="12.7109375" style="39" customWidth="1"/>
    <col min="8" max="8" width="15.28125" style="39" customWidth="1"/>
    <col min="9" max="9" width="12.28125" style="39" bestFit="1" customWidth="1"/>
    <col min="10" max="16384" width="9.140625" style="39" customWidth="1"/>
  </cols>
  <sheetData>
    <row r="1" ht="7.5" customHeight="1" thickBot="1"/>
    <row r="2" spans="2:3" ht="13.5" thickBot="1">
      <c r="B2" s="61" t="s">
        <v>253</v>
      </c>
      <c r="C2" s="152"/>
    </row>
    <row r="3" spans="2:3" ht="13.5" thickBot="1">
      <c r="B3" s="77" t="s">
        <v>252</v>
      </c>
      <c r="C3" s="152"/>
    </row>
    <row r="4" spans="2:3" ht="13.5" thickBot="1">
      <c r="B4" s="75" t="s">
        <v>247</v>
      </c>
      <c r="C4" s="152"/>
    </row>
    <row r="5" ht="12.75">
      <c r="C5" s="47"/>
    </row>
    <row r="6" ht="12.75">
      <c r="B6" s="119" t="s">
        <v>140</v>
      </c>
    </row>
    <row r="8" ht="12.75">
      <c r="B8" s="153" t="s">
        <v>50</v>
      </c>
    </row>
    <row r="9" spans="2:3" ht="12.75">
      <c r="B9" s="119" t="s">
        <v>46</v>
      </c>
      <c r="C9" s="120" t="s">
        <v>73</v>
      </c>
    </row>
    <row r="10" spans="2:4" ht="12.75">
      <c r="B10" s="119" t="s">
        <v>47</v>
      </c>
      <c r="C10" s="120" t="s">
        <v>96</v>
      </c>
      <c r="D10" s="154"/>
    </row>
    <row r="11" spans="2:4" ht="12.75">
      <c r="B11" s="119" t="s">
        <v>48</v>
      </c>
      <c r="C11" s="120" t="s">
        <v>97</v>
      </c>
      <c r="D11" s="154"/>
    </row>
    <row r="12" spans="2:4" ht="12.75">
      <c r="B12" s="119" t="s">
        <v>49</v>
      </c>
      <c r="C12" s="120" t="s">
        <v>98</v>
      </c>
      <c r="D12" s="154"/>
    </row>
    <row r="13" spans="2:4" ht="12.75">
      <c r="B13" s="155"/>
      <c r="D13" s="154"/>
    </row>
    <row r="14" spans="2:5" ht="12.75">
      <c r="B14" s="155"/>
      <c r="D14" s="154"/>
      <c r="E14" s="154"/>
    </row>
    <row r="15" spans="2:7" ht="12.75">
      <c r="B15" s="119" t="s">
        <v>46</v>
      </c>
      <c r="C15" s="156"/>
      <c r="G15" s="119" t="s">
        <v>47</v>
      </c>
    </row>
    <row r="16" spans="3:9" ht="12.75">
      <c r="C16" s="157" t="s">
        <v>84</v>
      </c>
      <c r="D16" s="119" t="s">
        <v>85</v>
      </c>
      <c r="E16" s="119" t="s">
        <v>80</v>
      </c>
      <c r="H16" s="157" t="s">
        <v>84</v>
      </c>
      <c r="I16" s="119" t="s">
        <v>85</v>
      </c>
    </row>
    <row r="17" spans="2:9" ht="12.75">
      <c r="B17" s="39" t="s">
        <v>86</v>
      </c>
      <c r="C17" s="30" t="s">
        <v>92</v>
      </c>
      <c r="D17" s="27">
        <v>400000</v>
      </c>
      <c r="E17" s="27">
        <v>50000</v>
      </c>
      <c r="G17" s="39" t="s">
        <v>86</v>
      </c>
      <c r="H17" s="30" t="s">
        <v>153</v>
      </c>
      <c r="I17" s="27">
        <v>0</v>
      </c>
    </row>
    <row r="18" spans="2:9" ht="12.75">
      <c r="B18" s="39" t="s">
        <v>87</v>
      </c>
      <c r="C18" s="30" t="s">
        <v>153</v>
      </c>
      <c r="D18" s="36">
        <v>0</v>
      </c>
      <c r="E18" s="36"/>
      <c r="G18" s="39" t="s">
        <v>87</v>
      </c>
      <c r="H18" s="30" t="s">
        <v>153</v>
      </c>
      <c r="I18" s="27">
        <v>0</v>
      </c>
    </row>
    <row r="19" spans="2:9" ht="12.75">
      <c r="B19" s="39" t="s">
        <v>88</v>
      </c>
      <c r="C19" s="30" t="s">
        <v>153</v>
      </c>
      <c r="D19" s="36">
        <v>0</v>
      </c>
      <c r="E19" s="36"/>
      <c r="G19" s="39" t="s">
        <v>88</v>
      </c>
      <c r="H19" s="30"/>
      <c r="I19" s="27">
        <v>0</v>
      </c>
    </row>
    <row r="20" spans="2:9" ht="12.75">
      <c r="B20" s="39" t="s">
        <v>89</v>
      </c>
      <c r="C20" s="30"/>
      <c r="D20" s="27">
        <v>0</v>
      </c>
      <c r="E20" s="27"/>
      <c r="G20" s="39" t="s">
        <v>89</v>
      </c>
      <c r="H20" s="30"/>
      <c r="I20" s="27">
        <v>0</v>
      </c>
    </row>
    <row r="21" spans="2:9" ht="12.75">
      <c r="B21" s="39" t="s">
        <v>90</v>
      </c>
      <c r="C21" s="30"/>
      <c r="D21" s="27">
        <v>0</v>
      </c>
      <c r="E21" s="27"/>
      <c r="G21" s="39" t="s">
        <v>90</v>
      </c>
      <c r="H21" s="30"/>
      <c r="I21" s="27">
        <v>0</v>
      </c>
    </row>
    <row r="22" spans="2:9" ht="12.75">
      <c r="B22" s="119" t="s">
        <v>91</v>
      </c>
      <c r="C22" s="156"/>
      <c r="D22" s="74">
        <f>SUM(D17:D21)</f>
        <v>400000</v>
      </c>
      <c r="E22" s="74">
        <f>SUM(E17:E21)</f>
        <v>50000</v>
      </c>
      <c r="G22" s="119" t="s">
        <v>94</v>
      </c>
      <c r="H22" s="156"/>
      <c r="I22" s="74">
        <f>SUM(I17:I21)</f>
        <v>0</v>
      </c>
    </row>
    <row r="23" spans="3:9" ht="12.75">
      <c r="C23" s="156"/>
      <c r="I23" s="74"/>
    </row>
    <row r="24" spans="2:9" ht="12.75">
      <c r="B24" s="119" t="s">
        <v>48</v>
      </c>
      <c r="G24" s="119" t="s">
        <v>49</v>
      </c>
      <c r="H24" s="156"/>
      <c r="I24" s="74"/>
    </row>
    <row r="25" spans="3:9" ht="12.75">
      <c r="C25" s="157" t="s">
        <v>84</v>
      </c>
      <c r="D25" s="119" t="s">
        <v>85</v>
      </c>
      <c r="E25" s="119"/>
      <c r="H25" s="157" t="s">
        <v>84</v>
      </c>
      <c r="I25" s="158" t="s">
        <v>85</v>
      </c>
    </row>
    <row r="26" spans="2:9" ht="12.75">
      <c r="B26" s="39" t="s">
        <v>86</v>
      </c>
      <c r="C26" s="30" t="s">
        <v>322</v>
      </c>
      <c r="D26" s="36">
        <v>270000</v>
      </c>
      <c r="E26" s="27"/>
      <c r="G26" s="39" t="s">
        <v>86</v>
      </c>
      <c r="H26" s="30" t="s">
        <v>158</v>
      </c>
      <c r="I26" s="27">
        <v>30500</v>
      </c>
    </row>
    <row r="27" spans="2:9" ht="12.75">
      <c r="B27" s="39" t="s">
        <v>87</v>
      </c>
      <c r="C27" s="30" t="s">
        <v>156</v>
      </c>
      <c r="D27" s="27">
        <v>469500</v>
      </c>
      <c r="E27" s="27"/>
      <c r="G27" s="39" t="s">
        <v>87</v>
      </c>
      <c r="H27" s="30" t="s">
        <v>153</v>
      </c>
      <c r="I27" s="27">
        <v>0</v>
      </c>
    </row>
    <row r="28" spans="2:9" ht="12.75">
      <c r="B28" s="39" t="s">
        <v>88</v>
      </c>
      <c r="C28" s="30" t="s">
        <v>157</v>
      </c>
      <c r="D28" s="27">
        <v>80000</v>
      </c>
      <c r="E28" s="27"/>
      <c r="G28" s="39" t="s">
        <v>88</v>
      </c>
      <c r="H28" s="30" t="s">
        <v>153</v>
      </c>
      <c r="I28" s="27">
        <v>0</v>
      </c>
    </row>
    <row r="29" spans="2:9" ht="12.75">
      <c r="B29" s="39" t="s">
        <v>89</v>
      </c>
      <c r="C29" s="30" t="s">
        <v>52</v>
      </c>
      <c r="D29" s="27">
        <v>20000</v>
      </c>
      <c r="E29" s="27"/>
      <c r="G29" s="39" t="s">
        <v>89</v>
      </c>
      <c r="H29" s="30"/>
      <c r="I29" s="27">
        <v>0</v>
      </c>
    </row>
    <row r="30" spans="2:9" ht="12.75">
      <c r="B30" s="39" t="s">
        <v>90</v>
      </c>
      <c r="C30" s="30"/>
      <c r="D30" s="27">
        <v>0</v>
      </c>
      <c r="E30" s="27"/>
      <c r="G30" s="39" t="s">
        <v>90</v>
      </c>
      <c r="H30" s="30"/>
      <c r="I30" s="27">
        <v>0</v>
      </c>
    </row>
    <row r="31" spans="2:17" ht="12.75">
      <c r="B31" s="119" t="s">
        <v>93</v>
      </c>
      <c r="C31" s="156"/>
      <c r="D31" s="74">
        <f>SUM(D26:D30)</f>
        <v>839500</v>
      </c>
      <c r="E31" s="74"/>
      <c r="G31" s="119" t="s">
        <v>95</v>
      </c>
      <c r="H31" s="156"/>
      <c r="I31" s="74">
        <f>SUM(I26:I30)</f>
        <v>30500</v>
      </c>
      <c r="J31" s="120"/>
      <c r="K31" s="120"/>
      <c r="L31" s="120"/>
      <c r="M31" s="120"/>
      <c r="N31" s="120"/>
      <c r="O31" s="120"/>
      <c r="P31" s="120"/>
      <c r="Q31" s="120"/>
    </row>
    <row r="32" spans="3:17" ht="12.75">
      <c r="C32" s="156"/>
      <c r="D32" s="156"/>
      <c r="E32" s="156"/>
      <c r="H32" s="120"/>
      <c r="I32" s="74"/>
      <c r="J32" s="120"/>
      <c r="K32" s="120"/>
      <c r="L32" s="120"/>
      <c r="M32" s="120"/>
      <c r="N32" s="120"/>
      <c r="O32" s="120"/>
      <c r="P32" s="120"/>
      <c r="Q32" s="120"/>
    </row>
    <row r="33" spans="2:17" ht="12.75">
      <c r="B33" s="119" t="s">
        <v>101</v>
      </c>
      <c r="C33" s="156"/>
      <c r="D33" s="74">
        <f>+D22+I22+D31+I31</f>
        <v>1270000</v>
      </c>
      <c r="E33" s="74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2:17" ht="12.75">
      <c r="B34" s="119" t="s">
        <v>121</v>
      </c>
      <c r="C34" s="156"/>
      <c r="D34" s="27">
        <v>100000</v>
      </c>
      <c r="E34" s="27"/>
      <c r="H34" s="120"/>
      <c r="I34" s="120"/>
      <c r="J34" s="120"/>
      <c r="K34" s="120"/>
      <c r="L34" s="120"/>
      <c r="M34" s="120"/>
      <c r="N34" s="120"/>
      <c r="O34" s="120"/>
      <c r="P34" s="120"/>
      <c r="Q34" s="120"/>
    </row>
    <row r="35" spans="2:17" ht="12.75">
      <c r="B35" s="119" t="s">
        <v>122</v>
      </c>
      <c r="C35" s="156"/>
      <c r="D35" s="74">
        <f>+D33+D34</f>
        <v>1370000</v>
      </c>
      <c r="E35" s="74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6" spans="2:17" ht="12.75">
      <c r="B36" s="119"/>
      <c r="C36" s="156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ht="12.75">
      <c r="B37" s="155" t="s">
        <v>71</v>
      </c>
    </row>
    <row r="39" spans="2:12" ht="12.75">
      <c r="B39" s="39" t="s">
        <v>70</v>
      </c>
      <c r="C39" s="39">
        <v>1</v>
      </c>
      <c r="D39" s="39">
        <v>2</v>
      </c>
      <c r="E39" s="39">
        <v>3</v>
      </c>
      <c r="F39" s="39">
        <v>4</v>
      </c>
      <c r="G39" s="39">
        <v>5</v>
      </c>
      <c r="H39" s="39">
        <v>6</v>
      </c>
      <c r="I39" s="39">
        <v>7</v>
      </c>
      <c r="J39" s="39">
        <v>8</v>
      </c>
      <c r="K39" s="39">
        <v>9</v>
      </c>
      <c r="L39" s="39">
        <v>10</v>
      </c>
    </row>
    <row r="40" spans="2:12" ht="12.75">
      <c r="B40" s="39" t="s">
        <v>46</v>
      </c>
      <c r="C40" s="120">
        <f aca="true" t="shared" si="0" ref="C40:L40">$C$60</f>
        <v>8974.358974358975</v>
      </c>
      <c r="D40" s="120">
        <f t="shared" si="0"/>
        <v>8974.358974358975</v>
      </c>
      <c r="E40" s="120">
        <f t="shared" si="0"/>
        <v>8974.358974358975</v>
      </c>
      <c r="F40" s="120">
        <f t="shared" si="0"/>
        <v>8974.358974358975</v>
      </c>
      <c r="G40" s="120">
        <f t="shared" si="0"/>
        <v>8974.358974358975</v>
      </c>
      <c r="H40" s="120">
        <f t="shared" si="0"/>
        <v>8974.358974358975</v>
      </c>
      <c r="I40" s="120">
        <f t="shared" si="0"/>
        <v>8974.358974358975</v>
      </c>
      <c r="J40" s="120">
        <f t="shared" si="0"/>
        <v>8974.358974358975</v>
      </c>
      <c r="K40" s="120">
        <f t="shared" si="0"/>
        <v>8974.358974358975</v>
      </c>
      <c r="L40" s="120">
        <f t="shared" si="0"/>
        <v>8974.358974358975</v>
      </c>
    </row>
    <row r="41" spans="2:12" ht="12.75">
      <c r="B41" s="39" t="s">
        <v>47</v>
      </c>
      <c r="C41" s="120">
        <f>+C68</f>
        <v>0</v>
      </c>
      <c r="D41" s="120">
        <f>+C69</f>
        <v>0</v>
      </c>
      <c r="E41" s="120">
        <f>+C70</f>
        <v>0</v>
      </c>
      <c r="F41" s="120">
        <f>+C71</f>
        <v>0</v>
      </c>
      <c r="G41" s="120">
        <f>+C72</f>
        <v>0</v>
      </c>
      <c r="H41" s="120">
        <f>+C73</f>
        <v>0</v>
      </c>
      <c r="I41" s="120">
        <f>+C74</f>
        <v>0</v>
      </c>
      <c r="J41" s="120">
        <f>+C75</f>
        <v>0</v>
      </c>
      <c r="K41" s="120">
        <f>+C76</f>
        <v>0</v>
      </c>
      <c r="L41" s="120">
        <f>+C77</f>
        <v>0</v>
      </c>
    </row>
    <row r="42" spans="2:10" ht="12.75">
      <c r="B42" s="39" t="s">
        <v>48</v>
      </c>
      <c r="C42" s="120">
        <f>+$C$81</f>
        <v>119964.55</v>
      </c>
      <c r="D42" s="120">
        <f>+$C$82</f>
        <v>205593.55000000002</v>
      </c>
      <c r="E42" s="120">
        <f>+$C$83</f>
        <v>146828.55</v>
      </c>
      <c r="F42" s="120">
        <f>+$C$84</f>
        <v>104853.55</v>
      </c>
      <c r="G42" s="120">
        <f>+$C$86</f>
        <v>74883.4</v>
      </c>
      <c r="H42" s="120">
        <f>+$C$87</f>
        <v>74967.35</v>
      </c>
      <c r="I42" s="120">
        <f>+$C$88</f>
        <v>37441.7</v>
      </c>
      <c r="J42" s="120">
        <f>+$C$88</f>
        <v>37441.7</v>
      </c>
    </row>
    <row r="43" spans="2:9" ht="12.75">
      <c r="B43" s="39" t="s">
        <v>72</v>
      </c>
      <c r="C43" s="120">
        <f>+$C$92</f>
        <v>6100</v>
      </c>
      <c r="D43" s="120">
        <f>+$C$93</f>
        <v>9760</v>
      </c>
      <c r="E43" s="120">
        <f>+$C$94</f>
        <v>5856</v>
      </c>
      <c r="F43" s="120">
        <f>+$C$95</f>
        <v>3513.6</v>
      </c>
      <c r="G43" s="120">
        <f>+$C$97</f>
        <v>1756.8</v>
      </c>
      <c r="H43" s="120">
        <f>+$C$97</f>
        <v>1756.8</v>
      </c>
      <c r="I43" s="120"/>
    </row>
    <row r="45" spans="2:12" ht="12.75">
      <c r="B45" s="119" t="s">
        <v>74</v>
      </c>
      <c r="C45" s="120">
        <f aca="true" t="shared" si="1" ref="C45:L45">SUM(C40:C43)</f>
        <v>135038.908974359</v>
      </c>
      <c r="D45" s="120">
        <f t="shared" si="1"/>
        <v>224327.908974359</v>
      </c>
      <c r="E45" s="120">
        <f t="shared" si="1"/>
        <v>161658.90897435896</v>
      </c>
      <c r="F45" s="120">
        <f t="shared" si="1"/>
        <v>117341.50897435898</v>
      </c>
      <c r="G45" s="120">
        <f t="shared" si="1"/>
        <v>85614.55897435897</v>
      </c>
      <c r="H45" s="120">
        <f t="shared" si="1"/>
        <v>85698.50897435898</v>
      </c>
      <c r="I45" s="120">
        <f t="shared" si="1"/>
        <v>46416.05897435897</v>
      </c>
      <c r="J45" s="120">
        <f t="shared" si="1"/>
        <v>46416.05897435897</v>
      </c>
      <c r="K45" s="120">
        <f t="shared" si="1"/>
        <v>8974.358974358975</v>
      </c>
      <c r="L45" s="120">
        <f t="shared" si="1"/>
        <v>8974.358974358975</v>
      </c>
    </row>
    <row r="47" spans="2:3" ht="12.75">
      <c r="B47" s="119"/>
      <c r="C47" s="156"/>
    </row>
    <row r="48" spans="2:3" ht="12.75">
      <c r="B48" s="119"/>
      <c r="C48" s="120"/>
    </row>
    <row r="49" spans="2:3" ht="12.75">
      <c r="B49" s="119" t="s">
        <v>46</v>
      </c>
      <c r="C49" s="120" t="s">
        <v>73</v>
      </c>
    </row>
    <row r="50" spans="2:3" ht="12.75">
      <c r="B50" s="119" t="s">
        <v>47</v>
      </c>
      <c r="C50" s="120" t="s">
        <v>75</v>
      </c>
    </row>
    <row r="51" spans="2:3" ht="12.75">
      <c r="B51" s="119" t="s">
        <v>48</v>
      </c>
      <c r="C51" s="120" t="s">
        <v>76</v>
      </c>
    </row>
    <row r="52" spans="2:3" ht="12.75">
      <c r="B52" s="119" t="s">
        <v>49</v>
      </c>
      <c r="C52" s="120" t="s">
        <v>77</v>
      </c>
    </row>
    <row r="54" ht="12.75">
      <c r="C54" s="156"/>
    </row>
    <row r="55" spans="2:12" ht="12.75">
      <c r="B55" s="119" t="s">
        <v>46</v>
      </c>
      <c r="C55" s="159"/>
      <c r="L55" s="39">
        <v>0.0613</v>
      </c>
    </row>
    <row r="56" spans="2:3" ht="12.75">
      <c r="B56" s="39" t="s">
        <v>78</v>
      </c>
      <c r="C56" s="160">
        <f>+D22</f>
        <v>400000</v>
      </c>
    </row>
    <row r="57" spans="2:3" ht="12.75">
      <c r="B57" s="161" t="s">
        <v>79</v>
      </c>
      <c r="C57" s="127">
        <v>39</v>
      </c>
    </row>
    <row r="58" spans="2:3" ht="12.75">
      <c r="B58" s="161" t="s">
        <v>80</v>
      </c>
      <c r="C58" s="162">
        <f>E22</f>
        <v>50000</v>
      </c>
    </row>
    <row r="59" spans="2:3" ht="12.75">
      <c r="B59" s="161" t="s">
        <v>81</v>
      </c>
      <c r="C59" s="127">
        <v>39</v>
      </c>
    </row>
    <row r="60" spans="2:3" ht="12.75">
      <c r="B60" s="39" t="s">
        <v>82</v>
      </c>
      <c r="C60" s="120">
        <f>(C56-C58)/C59</f>
        <v>8974.358974358975</v>
      </c>
    </row>
    <row r="62" ht="12.75">
      <c r="B62" s="119" t="s">
        <v>47</v>
      </c>
    </row>
    <row r="63" spans="2:3" ht="12.75">
      <c r="B63" s="39" t="s">
        <v>78</v>
      </c>
      <c r="C63" s="120">
        <f>$I$22</f>
        <v>0</v>
      </c>
    </row>
    <row r="64" spans="2:3" ht="12.75">
      <c r="B64" s="39" t="s">
        <v>79</v>
      </c>
      <c r="C64" s="39">
        <v>10</v>
      </c>
    </row>
    <row r="65" ht="12.75">
      <c r="C65" s="142"/>
    </row>
    <row r="67" spans="2:4" ht="12.75">
      <c r="B67" s="155" t="s">
        <v>70</v>
      </c>
      <c r="C67" s="163" t="s">
        <v>50</v>
      </c>
      <c r="D67" s="155" t="s">
        <v>83</v>
      </c>
    </row>
    <row r="68" spans="2:4" ht="12.75">
      <c r="B68" s="39">
        <v>1</v>
      </c>
      <c r="C68" s="120">
        <f aca="true" t="shared" si="2" ref="C68:C77">$C$63*D68</f>
        <v>0</v>
      </c>
      <c r="D68" s="164">
        <v>0.1</v>
      </c>
    </row>
    <row r="69" spans="2:4" ht="12.75">
      <c r="B69" s="39">
        <v>2</v>
      </c>
      <c r="C69" s="120">
        <f t="shared" si="2"/>
        <v>0</v>
      </c>
      <c r="D69" s="164">
        <v>0.14</v>
      </c>
    </row>
    <row r="70" spans="2:4" ht="12.75">
      <c r="B70" s="39">
        <v>3</v>
      </c>
      <c r="C70" s="120">
        <f t="shared" si="2"/>
        <v>0</v>
      </c>
      <c r="D70" s="164">
        <v>0.14</v>
      </c>
    </row>
    <row r="71" spans="2:4" ht="12.75">
      <c r="B71" s="39">
        <v>4</v>
      </c>
      <c r="C71" s="120">
        <f t="shared" si="2"/>
        <v>0</v>
      </c>
      <c r="D71" s="164">
        <v>0.14</v>
      </c>
    </row>
    <row r="72" spans="2:4" ht="12.75">
      <c r="B72" s="39">
        <v>5</v>
      </c>
      <c r="C72" s="120">
        <f t="shared" si="2"/>
        <v>0</v>
      </c>
      <c r="D72" s="164">
        <v>0.14</v>
      </c>
    </row>
    <row r="73" spans="2:4" ht="12.75">
      <c r="B73" s="39">
        <v>6</v>
      </c>
      <c r="C73" s="120">
        <f t="shared" si="2"/>
        <v>0</v>
      </c>
      <c r="D73" s="164">
        <v>0.14</v>
      </c>
    </row>
    <row r="74" spans="2:4" ht="12.75">
      <c r="B74" s="39">
        <v>7</v>
      </c>
      <c r="C74" s="120">
        <f t="shared" si="2"/>
        <v>0</v>
      </c>
      <c r="D74" s="164">
        <v>0.14</v>
      </c>
    </row>
    <row r="75" spans="2:4" ht="12.75">
      <c r="B75" s="39">
        <v>8</v>
      </c>
      <c r="C75" s="120">
        <f t="shared" si="2"/>
        <v>0</v>
      </c>
      <c r="D75" s="164">
        <v>0.14</v>
      </c>
    </row>
    <row r="76" spans="2:4" ht="12.75">
      <c r="B76" s="39">
        <v>9</v>
      </c>
      <c r="C76" s="120">
        <f t="shared" si="2"/>
        <v>0</v>
      </c>
      <c r="D76" s="164">
        <v>0.14</v>
      </c>
    </row>
    <row r="77" spans="2:4" ht="12.75">
      <c r="B77" s="39">
        <v>10</v>
      </c>
      <c r="C77" s="120">
        <f t="shared" si="2"/>
        <v>0</v>
      </c>
      <c r="D77" s="164">
        <v>0.14</v>
      </c>
    </row>
    <row r="78" ht="12.75">
      <c r="E78" s="161"/>
    </row>
    <row r="79" spans="2:9" ht="12.75">
      <c r="B79" s="119" t="s">
        <v>48</v>
      </c>
      <c r="E79" s="161"/>
      <c r="G79" s="119"/>
      <c r="H79" s="119"/>
      <c r="I79" s="119"/>
    </row>
    <row r="80" spans="2:12" ht="12.75">
      <c r="B80" s="155" t="s">
        <v>70</v>
      </c>
      <c r="C80" s="163" t="s">
        <v>50</v>
      </c>
      <c r="D80" s="155" t="s">
        <v>83</v>
      </c>
      <c r="E80" s="127"/>
      <c r="F80" s="119"/>
      <c r="G80" s="127"/>
      <c r="H80" s="127"/>
      <c r="I80" s="127"/>
      <c r="J80" s="127"/>
      <c r="K80" s="127"/>
      <c r="L80" s="127"/>
    </row>
    <row r="81" spans="2:6" ht="12.75">
      <c r="B81" s="39">
        <v>1</v>
      </c>
      <c r="C81" s="120">
        <f aca="true" t="shared" si="3" ref="C81:C88">$D$31*D81</f>
        <v>119964.55</v>
      </c>
      <c r="D81" s="165">
        <v>0.1429</v>
      </c>
      <c r="F81" s="127"/>
    </row>
    <row r="82" spans="2:4" ht="12.75">
      <c r="B82" s="39">
        <v>2</v>
      </c>
      <c r="C82" s="120">
        <f t="shared" si="3"/>
        <v>205593.55000000002</v>
      </c>
      <c r="D82" s="165">
        <v>0.2449</v>
      </c>
    </row>
    <row r="83" spans="2:4" ht="12.75">
      <c r="B83" s="39">
        <v>3</v>
      </c>
      <c r="C83" s="120">
        <f t="shared" si="3"/>
        <v>146828.55</v>
      </c>
      <c r="D83" s="165">
        <v>0.1749</v>
      </c>
    </row>
    <row r="84" spans="2:4" ht="12.75">
      <c r="B84" s="39">
        <v>4</v>
      </c>
      <c r="C84" s="120">
        <f t="shared" si="3"/>
        <v>104853.55</v>
      </c>
      <c r="D84" s="165">
        <v>0.1249</v>
      </c>
    </row>
    <row r="85" spans="2:4" ht="12.75">
      <c r="B85" s="39">
        <v>5</v>
      </c>
      <c r="C85" s="120">
        <f t="shared" si="3"/>
        <v>74967.35</v>
      </c>
      <c r="D85" s="165">
        <v>0.0893</v>
      </c>
    </row>
    <row r="86" spans="2:4" ht="12.75">
      <c r="B86" s="39">
        <v>6</v>
      </c>
      <c r="C86" s="120">
        <f t="shared" si="3"/>
        <v>74883.4</v>
      </c>
      <c r="D86" s="165">
        <v>0.0892</v>
      </c>
    </row>
    <row r="87" spans="2:4" ht="12.75">
      <c r="B87" s="39">
        <v>7</v>
      </c>
      <c r="C87" s="120">
        <f t="shared" si="3"/>
        <v>74967.35</v>
      </c>
      <c r="D87" s="165">
        <v>0.0893</v>
      </c>
    </row>
    <row r="88" spans="2:4" ht="12.75">
      <c r="B88" s="39">
        <v>8</v>
      </c>
      <c r="C88" s="120">
        <f t="shared" si="3"/>
        <v>37441.7</v>
      </c>
      <c r="D88" s="165">
        <v>0.0446</v>
      </c>
    </row>
    <row r="90" ht="12.75">
      <c r="B90" s="119" t="s">
        <v>49</v>
      </c>
    </row>
    <row r="91" spans="2:4" ht="12.75">
      <c r="B91" s="155" t="s">
        <v>70</v>
      </c>
      <c r="C91" s="163" t="s">
        <v>50</v>
      </c>
      <c r="D91" s="155" t="s">
        <v>83</v>
      </c>
    </row>
    <row r="92" spans="2:4" ht="12.75">
      <c r="B92" s="39">
        <v>1</v>
      </c>
      <c r="C92" s="120">
        <f aca="true" t="shared" si="4" ref="C92:C97">$I$31*D92</f>
        <v>6100</v>
      </c>
      <c r="D92" s="166">
        <v>0.2</v>
      </c>
    </row>
    <row r="93" spans="2:4" ht="12.75">
      <c r="B93" s="39">
        <v>2</v>
      </c>
      <c r="C93" s="120">
        <f t="shared" si="4"/>
        <v>9760</v>
      </c>
      <c r="D93" s="166">
        <v>0.32</v>
      </c>
    </row>
    <row r="94" spans="2:4" ht="12.75">
      <c r="B94" s="39">
        <v>3</v>
      </c>
      <c r="C94" s="120">
        <f t="shared" si="4"/>
        <v>5856</v>
      </c>
      <c r="D94" s="166">
        <v>0.192</v>
      </c>
    </row>
    <row r="95" spans="2:4" ht="12.75">
      <c r="B95" s="39">
        <v>4</v>
      </c>
      <c r="C95" s="120">
        <f t="shared" si="4"/>
        <v>3513.6</v>
      </c>
      <c r="D95" s="166">
        <v>0.1152</v>
      </c>
    </row>
    <row r="96" spans="2:4" ht="12.75">
      <c r="B96" s="39">
        <v>5</v>
      </c>
      <c r="C96" s="120">
        <f t="shared" si="4"/>
        <v>3513.6</v>
      </c>
      <c r="D96" s="166">
        <v>0.1152</v>
      </c>
    </row>
    <row r="97" spans="2:4" ht="12.75">
      <c r="B97" s="39">
        <v>6</v>
      </c>
      <c r="C97" s="120">
        <f t="shared" si="4"/>
        <v>1756.8</v>
      </c>
      <c r="D97" s="166">
        <v>0.0576</v>
      </c>
    </row>
    <row r="98" ht="12.75">
      <c r="E98" s="47"/>
    </row>
    <row r="99" ht="13.5">
      <c r="E99" s="167"/>
    </row>
    <row r="100" ht="13.5">
      <c r="E100" s="167"/>
    </row>
    <row r="101" ht="13.5">
      <c r="E101" s="167"/>
    </row>
    <row r="102" ht="13.5">
      <c r="E102" s="167"/>
    </row>
    <row r="103" ht="13.5">
      <c r="E103" s="167"/>
    </row>
    <row r="104" ht="13.5">
      <c r="E104" s="167"/>
    </row>
    <row r="105" ht="13.5">
      <c r="E105" s="167"/>
    </row>
    <row r="106" ht="13.5">
      <c r="E106" s="16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3.5">
      <c r="E115" s="167"/>
    </row>
    <row r="116" ht="13.5">
      <c r="E116" s="167"/>
    </row>
    <row r="117" ht="13.5">
      <c r="E117" s="167"/>
    </row>
    <row r="118" ht="13.5">
      <c r="E118" s="167"/>
    </row>
    <row r="119" ht="13.5">
      <c r="E119" s="167"/>
    </row>
    <row r="120" ht="13.5">
      <c r="E120" s="167"/>
    </row>
  </sheetData>
  <sheetProtection sheet="1" objects="1" scenarios="1"/>
  <hyperlinks>
    <hyperlink ref="B3" location="'Input Value'!A1" display="BACK TO INPUTS"/>
    <hyperlink ref="B4" location="'Return On Investment'!A1" display="FORWARD TO RESULTS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ahouser</cp:lastModifiedBy>
  <dcterms:created xsi:type="dcterms:W3CDTF">2003-07-24T15:07:28Z</dcterms:created>
  <dcterms:modified xsi:type="dcterms:W3CDTF">2004-06-02T20:33:20Z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